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Quantitative Risk\20. Affordability\3. EXCEL versions\Quick Affordability\"/>
    </mc:Choice>
  </mc:AlternateContent>
  <xr:revisionPtr revIDLastSave="0" documentId="13_ncr:1_{DB11EE5A-81AD-4291-99A7-38120B612866}" xr6:coauthVersionLast="47" xr6:coauthVersionMax="47" xr10:uidLastSave="{00000000-0000-0000-0000-000000000000}"/>
  <workbookProtection workbookAlgorithmName="SHA-512" workbookHashValue="xmxOIiURXwFiP94DBdxnE0KrmSE3dAra5kFdFCqlG7mgWU6Rou8VN08ydV7+7sO5c9b/Be8JrjoS1NJHDOoS2A==" workbookSaltValue="QYZg33AfttNdJkVrcNn8xQ==" workbookSpinCount="100000" lockStructure="1"/>
  <bookViews>
    <workbookView xWindow="-108" yWindow="-108" windowWidth="23256" windowHeight="14016" tabRatio="819" xr2:uid="{00000000-000D-0000-FFFF-FFFF00000000}"/>
  </bookViews>
  <sheets>
    <sheet name="CBTL ICR" sheetId="25" r:id="rId1"/>
    <sheet name="Lookup_CBTL" sheetId="26" state="hidden" r:id="rId2"/>
  </sheets>
  <definedNames>
    <definedName name="Bonus">#REF!</definedName>
    <definedName name="Buffer">#REF!</definedName>
    <definedName name="Buffer_KEY">#REF!</definedName>
    <definedName name="Cars">#REF!</definedName>
    <definedName name="Cars_FULL">#REF!</definedName>
    <definedName name="CCJ_Minimum">#REF!</definedName>
    <definedName name="Credit">#REF!</definedName>
    <definedName name="Def_Min_KEY">#REF!</definedName>
    <definedName name="Def_Min_Key_FULL">#REF!</definedName>
    <definedName name="Def_Min_Key_FULL12">#REF!</definedName>
    <definedName name="Def_Min_Key_Full1234">#REF!</definedName>
    <definedName name="Default_Minimums">#REF!</definedName>
    <definedName name="Household_Expenditure">#REF!</definedName>
    <definedName name="Income">#REF!</definedName>
    <definedName name="Minimum_Payment">#REF!</definedName>
    <definedName name="NEWICR">#REF!</definedName>
    <definedName name="OT_Commission">#REF!</definedName>
    <definedName name="Stressed_Rate">#REF!</definedName>
    <definedName name="Third_Char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26" l="1"/>
  <c r="D9" i="26"/>
  <c r="S26" i="26"/>
  <c r="R24" i="26"/>
  <c r="S25" i="26"/>
  <c r="S28" i="26" l="1"/>
  <c r="X12" i="26" l="1"/>
  <c r="W12" i="26"/>
  <c r="X14" i="26" s="1"/>
  <c r="X9" i="26"/>
  <c r="W9" i="26"/>
  <c r="X11" i="26" s="1"/>
  <c r="S3" i="26" l="1"/>
  <c r="C10" i="26" s="1"/>
  <c r="X10" i="26"/>
  <c r="S4" i="26" s="1"/>
  <c r="X13" i="26"/>
  <c r="T13" i="25"/>
  <c r="T17" i="25" l="1"/>
  <c r="D10" i="26"/>
  <c r="D11" i="26" s="1"/>
  <c r="C9" i="26"/>
  <c r="E41" i="25" l="1"/>
  <c r="K36" i="25" l="1"/>
  <c r="M36" i="25" s="1"/>
  <c r="K41" i="25" l="1"/>
  <c r="M41" i="25" s="1"/>
  <c r="C11" i="26" l="1"/>
</calcChain>
</file>

<file path=xl/sharedStrings.xml><?xml version="1.0" encoding="utf-8"?>
<sst xmlns="http://schemas.openxmlformats.org/spreadsheetml/2006/main" count="99" uniqueCount="66">
  <si>
    <t>£</t>
  </si>
  <si>
    <t>Interest Rate</t>
  </si>
  <si>
    <t>Term</t>
  </si>
  <si>
    <t>Capital Repayment / Interest Only</t>
  </si>
  <si>
    <t>%</t>
  </si>
  <si>
    <t>months</t>
  </si>
  <si>
    <t>/month</t>
  </si>
  <si>
    <t>Please select</t>
  </si>
  <si>
    <t>Capital Repayment</t>
  </si>
  <si>
    <t>Interest Only</t>
  </si>
  <si>
    <t>Yes</t>
  </si>
  <si>
    <t>No</t>
  </si>
  <si>
    <t xml:space="preserve">     Proposed Loan Details (if known)</t>
  </si>
  <si>
    <t>Proposed Monthly Repayment</t>
  </si>
  <si>
    <t>Stressed Monthly Repayment</t>
  </si>
  <si>
    <t>Gross Loan Amount (including fees)</t>
  </si>
  <si>
    <t>Variable</t>
  </si>
  <si>
    <t>Monthly Rental Income</t>
  </si>
  <si>
    <t>Projected</t>
  </si>
  <si>
    <t>Actual</t>
  </si>
  <si>
    <t>ICR</t>
  </si>
  <si>
    <t xml:space="preserve">     Interest Coverage Ratio</t>
  </si>
  <si>
    <t>Rent:</t>
  </si>
  <si>
    <t>CMI:</t>
  </si>
  <si>
    <t>ACCEPT</t>
  </si>
  <si>
    <t>Incremental I/R stress</t>
  </si>
  <si>
    <t>stress</t>
  </si>
  <si>
    <t>Income net of secured debt?</t>
  </si>
  <si>
    <t>Stressed Outcome</t>
  </si>
  <si>
    <t>Threshold</t>
  </si>
  <si>
    <t>Existing calculation</t>
  </si>
  <si>
    <t>2-yr Fixed</t>
  </si>
  <si>
    <t>5-yr Fixed</t>
  </si>
  <si>
    <t>ICR Threshold/Tax Bracket</t>
  </si>
  <si>
    <t>Basic Rate Tax Payer</t>
  </si>
  <si>
    <t>High Rate Tax Payer</t>
  </si>
  <si>
    <t xml:space="preserve">     Monthly rental income for the security</t>
  </si>
  <si>
    <t>INSUFFICIENT RENTAL INCOME - Please speak with our support team on 0161 933 7101</t>
  </si>
  <si>
    <t>Additional Rate Tax Payer</t>
  </si>
  <si>
    <t>CBTL rental income adjustment</t>
  </si>
  <si>
    <t>Prior charge: Total monthly payments</t>
  </si>
  <si>
    <t xml:space="preserve">     Existing prior charge against security (if remaining)</t>
  </si>
  <si>
    <t>Prior charge: Total existing balance</t>
  </si>
  <si>
    <t>*Stress prior charge as if it is I/O in quick calculator due to complexity around capital stressing</t>
  </si>
  <si>
    <t>Reversionary</t>
  </si>
  <si>
    <t>Product Type</t>
  </si>
  <si>
    <t>CMI</t>
  </si>
  <si>
    <t>CBTL</t>
  </si>
  <si>
    <t>Stressed CMI</t>
  </si>
  <si>
    <t>Fixed 2-Year</t>
  </si>
  <si>
    <t>Fixed 5-Year</t>
  </si>
  <si>
    <t>Repayment Type</t>
  </si>
  <si>
    <t>Capital</t>
  </si>
  <si>
    <t>I/R Stress</t>
  </si>
  <si>
    <t>Prior charge: Start date (DD/MM/YYYY)</t>
  </si>
  <si>
    <t>Prior charge: Term (months)</t>
  </si>
  <si>
    <t>Remaining Term</t>
  </si>
  <si>
    <t>+3% stress</t>
  </si>
  <si>
    <t>+2% stress</t>
  </si>
  <si>
    <t>+1% stress</t>
  </si>
  <si>
    <t>No stress</t>
  </si>
  <si>
    <t>New loan</t>
  </si>
  <si>
    <t>Prior charge</t>
  </si>
  <si>
    <t>Prior charge: Capital Repayment / Interest Only</t>
  </si>
  <si>
    <t>I/O calc</t>
  </si>
  <si>
    <t>Capital 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</si>
</sst>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43" formatCode="_-* #,##0.00_-;\-* #,##0.00_-;_-* &quot;-&quot;??_-;_-@_-"/>
    <numFmt numFmtId="164" formatCode="General_)"/>
    <numFmt numFmtId="165" formatCode="0.0%"/>
    <numFmt numFmtId="166" formatCode="&quot;£&quot;#,##0"/>
    <numFmt numFmtId="167" formatCode="&quot;£&quot;#,##0.00"/>
    <numFmt numFmtId="168" formatCode="dd/mm/yyyy;@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rgb="FF3F2C59"/>
        <bgColor indexed="64"/>
      </patternFill>
    </fill>
    <fill>
      <patternFill patternType="solid">
        <fgColor rgb="FFFCD889"/>
        <bgColor indexed="64"/>
      </patternFill>
    </fill>
    <fill>
      <patternFill patternType="solid">
        <fgColor rgb="FFC5BFCC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3">
    <xf numFmtId="0" fontId="0" fillId="0" borderId="0"/>
    <xf numFmtId="0" fontId="5" fillId="2" borderId="0" applyNumberFormat="0" applyBorder="0" applyAlignment="0" applyProtection="0"/>
    <xf numFmtId="43" fontId="5" fillId="0" borderId="0" applyFont="0" applyFill="0" applyBorder="0" applyAlignment="0" applyProtection="0"/>
    <xf numFmtId="40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9" fontId="7" fillId="3" borderId="6" xfId="0" applyNumberFormat="1" applyFont="1" applyFill="1" applyBorder="1" applyAlignment="1">
      <alignment horizontal="center" vertical="center"/>
    </xf>
    <xf numFmtId="0" fontId="0" fillId="3" borderId="0" xfId="0" applyFill="1"/>
    <xf numFmtId="167" fontId="8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/>
    <xf numFmtId="0" fontId="0" fillId="3" borderId="0" xfId="0" applyFill="1" applyAlignment="1">
      <alignment horizontal="center"/>
    </xf>
    <xf numFmtId="9" fontId="5" fillId="3" borderId="0" xfId="10" applyFont="1" applyFill="1"/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horizontal="center"/>
    </xf>
    <xf numFmtId="0" fontId="0" fillId="3" borderId="0" xfId="0" quotePrefix="1" applyFill="1" applyAlignment="1">
      <alignment horizontal="center"/>
    </xf>
    <xf numFmtId="2" fontId="0" fillId="3" borderId="0" xfId="0" applyNumberFormat="1" applyFill="1"/>
    <xf numFmtId="0" fontId="0" fillId="6" borderId="0" xfId="0" applyFill="1"/>
    <xf numFmtId="0" fontId="0" fillId="6" borderId="12" xfId="0" applyFill="1" applyBorder="1"/>
    <xf numFmtId="0" fontId="0" fillId="6" borderId="11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3" xfId="0" applyFill="1" applyBorder="1"/>
    <xf numFmtId="3" fontId="0" fillId="3" borderId="0" xfId="0" applyNumberFormat="1" applyFill="1"/>
    <xf numFmtId="165" fontId="5" fillId="3" borderId="0" xfId="10" applyNumberFormat="1" applyFont="1" applyFill="1"/>
    <xf numFmtId="4" fontId="0" fillId="3" borderId="0" xfId="0" applyNumberFormat="1" applyFill="1"/>
    <xf numFmtId="0" fontId="0" fillId="6" borderId="1" xfId="0" applyFill="1" applyBorder="1"/>
    <xf numFmtId="0" fontId="0" fillId="6" borderId="1" xfId="0" applyFill="1" applyBorder="1" applyAlignment="1">
      <alignment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0" fillId="6" borderId="3" xfId="0" applyFill="1" applyBorder="1"/>
    <xf numFmtId="0" fontId="0" fillId="6" borderId="4" xfId="0" applyFill="1" applyBorder="1"/>
    <xf numFmtId="0" fontId="0" fillId="6" borderId="0" xfId="0" applyFill="1" applyAlignment="1">
      <alignment vertical="center"/>
    </xf>
    <xf numFmtId="0" fontId="0" fillId="6" borderId="0" xfId="0" applyFill="1" applyAlignment="1">
      <alignment horizontal="right" vertical="center"/>
    </xf>
    <xf numFmtId="0" fontId="9" fillId="6" borderId="0" xfId="0" applyFont="1" applyFill="1" applyAlignment="1">
      <alignment vertical="center"/>
    </xf>
    <xf numFmtId="0" fontId="0" fillId="6" borderId="2" xfId="0" applyFill="1" applyBorder="1"/>
    <xf numFmtId="0" fontId="0" fillId="6" borderId="2" xfId="0" applyFill="1" applyBorder="1" applyAlignment="1">
      <alignment vertical="center"/>
    </xf>
    <xf numFmtId="0" fontId="0" fillId="6" borderId="0" xfId="0" quotePrefix="1" applyFill="1" applyAlignment="1">
      <alignment vertical="center"/>
    </xf>
    <xf numFmtId="0" fontId="0" fillId="6" borderId="0" xfId="0" applyFill="1" applyAlignment="1">
      <alignment vertical="center" wrapText="1"/>
    </xf>
    <xf numFmtId="0" fontId="0" fillId="6" borderId="5" xfId="0" applyFill="1" applyBorder="1"/>
    <xf numFmtId="0" fontId="0" fillId="6" borderId="0" xfId="0" applyFill="1" applyAlignment="1">
      <alignment horizontal="left"/>
    </xf>
    <xf numFmtId="3" fontId="5" fillId="6" borderId="0" xfId="2" applyNumberFormat="1" applyFont="1" applyFill="1" applyBorder="1" applyAlignment="1">
      <alignment horizontal="right" vertical="center"/>
    </xf>
    <xf numFmtId="0" fontId="0" fillId="6" borderId="4" xfId="0" applyFill="1" applyBorder="1" applyAlignment="1">
      <alignment vertical="center" wrapText="1"/>
    </xf>
    <xf numFmtId="0" fontId="0" fillId="6" borderId="4" xfId="0" applyFill="1" applyBorder="1" applyAlignment="1">
      <alignment horizontal="center"/>
    </xf>
    <xf numFmtId="0" fontId="10" fillId="6" borderId="0" xfId="0" applyFont="1" applyFill="1" applyAlignment="1">
      <alignment horizontal="right" vertical="center"/>
    </xf>
    <xf numFmtId="9" fontId="7" fillId="6" borderId="6" xfId="0" applyNumberFormat="1" applyFont="1" applyFill="1" applyBorder="1" applyAlignment="1">
      <alignment horizontal="center" vertical="center"/>
    </xf>
    <xf numFmtId="9" fontId="7" fillId="6" borderId="0" xfId="0" applyNumberFormat="1" applyFont="1" applyFill="1" applyAlignment="1">
      <alignment horizontal="center" vertical="center"/>
    </xf>
    <xf numFmtId="166" fontId="0" fillId="6" borderId="0" xfId="0" applyNumberFormat="1" applyFill="1" applyAlignment="1">
      <alignment horizontal="left" vertical="center"/>
    </xf>
    <xf numFmtId="166" fontId="0" fillId="6" borderId="0" xfId="0" applyNumberFormat="1" applyFill="1" applyAlignment="1">
      <alignment vertical="center"/>
    </xf>
    <xf numFmtId="166" fontId="7" fillId="6" borderId="0" xfId="0" quotePrefix="1" applyNumberFormat="1" applyFont="1" applyFill="1" applyAlignment="1">
      <alignment horizontal="right" vertical="center"/>
    </xf>
    <xf numFmtId="0" fontId="0" fillId="6" borderId="11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9" fontId="7" fillId="5" borderId="10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7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166" fontId="0" fillId="3" borderId="0" xfId="0" applyNumberFormat="1" applyFill="1"/>
    <xf numFmtId="10" fontId="0" fillId="7" borderId="0" xfId="0" applyNumberFormat="1" applyFill="1"/>
    <xf numFmtId="9" fontId="0" fillId="3" borderId="0" xfId="10" applyFont="1" applyFill="1"/>
    <xf numFmtId="0" fontId="6" fillId="4" borderId="20" xfId="0" applyFont="1" applyFill="1" applyBorder="1" applyAlignment="1">
      <alignment horizontal="left" vertical="center" wrapText="1"/>
    </xf>
    <xf numFmtId="166" fontId="0" fillId="0" borderId="6" xfId="0" applyNumberFormat="1" applyBorder="1" applyAlignment="1">
      <alignment horizontal="center" vertical="center"/>
    </xf>
    <xf numFmtId="166" fontId="0" fillId="3" borderId="0" xfId="0" applyNumberFormat="1" applyFill="1" applyAlignment="1">
      <alignment vertical="center"/>
    </xf>
    <xf numFmtId="0" fontId="0" fillId="3" borderId="0" xfId="0" applyFill="1" applyAlignment="1">
      <alignment horizontal="right" vertical="center"/>
    </xf>
    <xf numFmtId="0" fontId="12" fillId="4" borderId="6" xfId="0" applyFont="1" applyFill="1" applyBorder="1" applyAlignment="1">
      <alignment horizontal="center" vertical="center" wrapText="1"/>
    </xf>
    <xf numFmtId="9" fontId="0" fillId="0" borderId="6" xfId="1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vertical="center"/>
    </xf>
    <xf numFmtId="6" fontId="0" fillId="0" borderId="6" xfId="0" applyNumberForma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vertical="center"/>
    </xf>
    <xf numFmtId="0" fontId="12" fillId="4" borderId="19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9" fontId="0" fillId="3" borderId="0" xfId="1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168" fontId="5" fillId="0" borderId="7" xfId="2" applyNumberFormat="1" applyFont="1" applyFill="1" applyBorder="1" applyAlignment="1" applyProtection="1">
      <alignment horizontal="center" vertical="center"/>
      <protection locked="0"/>
    </xf>
    <xf numFmtId="168" fontId="5" fillId="0" borderId="8" xfId="2" applyNumberFormat="1" applyFont="1" applyFill="1" applyBorder="1" applyAlignment="1" applyProtection="1">
      <alignment horizontal="center" vertical="center"/>
      <protection locked="0"/>
    </xf>
    <xf numFmtId="168" fontId="5" fillId="0" borderId="9" xfId="2" applyNumberFormat="1" applyFont="1" applyFill="1" applyBorder="1" applyAlignment="1" applyProtection="1">
      <alignment horizontal="center" vertical="center"/>
      <protection locked="0"/>
    </xf>
    <xf numFmtId="3" fontId="5" fillId="0" borderId="7" xfId="2" applyNumberFormat="1" applyFont="1" applyFill="1" applyBorder="1" applyAlignment="1" applyProtection="1">
      <alignment horizontal="center" vertical="center"/>
      <protection locked="0"/>
    </xf>
    <xf numFmtId="3" fontId="5" fillId="0" borderId="8" xfId="2" applyNumberFormat="1" applyFont="1" applyFill="1" applyBorder="1" applyAlignment="1" applyProtection="1">
      <alignment horizontal="center" vertical="center"/>
      <protection locked="0"/>
    </xf>
    <xf numFmtId="3" fontId="5" fillId="0" borderId="9" xfId="2" applyNumberFormat="1" applyFont="1" applyFill="1" applyBorder="1" applyAlignment="1" applyProtection="1">
      <alignment horizontal="center" vertical="center"/>
      <protection locked="0"/>
    </xf>
    <xf numFmtId="4" fontId="8" fillId="3" borderId="7" xfId="2" applyNumberFormat="1" applyFont="1" applyFill="1" applyBorder="1" applyAlignment="1" applyProtection="1">
      <alignment horizontal="center" vertical="center"/>
      <protection locked="0"/>
    </xf>
    <xf numFmtId="4" fontId="8" fillId="3" borderId="8" xfId="2" applyNumberFormat="1" applyFont="1" applyFill="1" applyBorder="1" applyAlignment="1" applyProtection="1">
      <alignment horizontal="center" vertical="center"/>
      <protection locked="0"/>
    </xf>
    <xf numFmtId="4" fontId="8" fillId="3" borderId="9" xfId="2" applyNumberFormat="1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4" fontId="5" fillId="0" borderId="7" xfId="2" applyNumberFormat="1" applyFont="1" applyFill="1" applyBorder="1" applyAlignment="1" applyProtection="1">
      <alignment horizontal="center" vertical="center"/>
      <protection locked="0"/>
    </xf>
    <xf numFmtId="4" fontId="5" fillId="0" borderId="8" xfId="2" applyNumberFormat="1" applyFont="1" applyFill="1" applyBorder="1" applyAlignment="1" applyProtection="1">
      <alignment horizontal="center" vertical="center"/>
      <protection locked="0"/>
    </xf>
    <xf numFmtId="4" fontId="5" fillId="0" borderId="9" xfId="2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" fontId="7" fillId="6" borderId="7" xfId="0" applyNumberFormat="1" applyFont="1" applyFill="1" applyBorder="1" applyAlignment="1">
      <alignment horizontal="center" vertical="center"/>
    </xf>
    <xf numFmtId="4" fontId="7" fillId="6" borderId="8" xfId="0" applyNumberFormat="1" applyFont="1" applyFill="1" applyBorder="1" applyAlignment="1">
      <alignment horizontal="center" vertical="center"/>
    </xf>
    <xf numFmtId="4" fontId="7" fillId="6" borderId="9" xfId="0" applyNumberFormat="1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9" fontId="8" fillId="5" borderId="7" xfId="10" applyFont="1" applyFill="1" applyBorder="1" applyAlignment="1">
      <alignment horizontal="center" vertical="center"/>
    </xf>
    <xf numFmtId="9" fontId="8" fillId="5" borderId="8" xfId="10" applyFont="1" applyFill="1" applyBorder="1" applyAlignment="1">
      <alignment horizontal="center" vertical="center"/>
    </xf>
    <xf numFmtId="9" fontId="8" fillId="5" borderId="9" xfId="10" applyFont="1" applyFill="1" applyBorder="1" applyAlignment="1">
      <alignment horizontal="center" vertical="center"/>
    </xf>
    <xf numFmtId="9" fontId="8" fillId="5" borderId="0" xfId="1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6" fontId="0" fillId="0" borderId="6" xfId="0" applyNumberForma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</cellXfs>
  <cellStyles count="13">
    <cellStyle name="20% - Accent4 2" xfId="1" xr:uid="{00000000-0005-0000-0000-000000000000}"/>
    <cellStyle name="Comma" xfId="2" builtinId="3"/>
    <cellStyle name="Comma 2" xfId="3" xr:uid="{00000000-0005-0000-0000-000002000000}"/>
    <cellStyle name="Comma 3" xfId="4" xr:uid="{00000000-0005-0000-0000-000003000000}"/>
    <cellStyle name="Comma 4" xfId="5" xr:uid="{00000000-0005-0000-0000-000004000000}"/>
    <cellStyle name="Comma 4 2" xfId="6" xr:uid="{00000000-0005-0000-0000-000005000000}"/>
    <cellStyle name="Normal" xfId="0" builtinId="0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Percent" xfId="10" builtinId="5"/>
    <cellStyle name="Percent 2" xfId="11" xr:uid="{00000000-0005-0000-0000-00000B000000}"/>
    <cellStyle name="Percent 2 2" xfId="12" xr:uid="{00000000-0005-0000-0000-00000C000000}"/>
  </cellStyles>
  <dxfs count="0"/>
  <tableStyles count="0" defaultTableStyle="TableStyleMedium2" defaultPivotStyle="PivotStyleLight16"/>
  <colors>
    <mruColors>
      <color rgb="FF3F2C59"/>
      <color rgb="FFC5BFCC"/>
      <color rgb="FFF9B114"/>
      <color rgb="FF00A19A"/>
      <color rgb="FFFCD889"/>
      <color rgb="FF9F95AA"/>
      <color rgb="FF1C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1</xdr:row>
      <xdr:rowOff>23812</xdr:rowOff>
    </xdr:from>
    <xdr:to>
      <xdr:col>26</xdr:col>
      <xdr:colOff>0</xdr:colOff>
      <xdr:row>4</xdr:row>
      <xdr:rowOff>178593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6281" y="345281"/>
          <a:ext cx="15382875" cy="726281"/>
        </a:xfrm>
        <a:prstGeom prst="roundRect">
          <a:avLst/>
        </a:prstGeom>
        <a:solidFill>
          <a:srgbClr val="00A19A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Consumer BTL Interest Cover Ratio (ICR) Affordability Calculator</a:t>
          </a:r>
        </a:p>
      </xdr:txBody>
    </xdr:sp>
    <xdr:clientData/>
  </xdr:twoCellAnchor>
  <xdr:twoCellAnchor editAs="oneCell">
    <xdr:from>
      <xdr:col>22</xdr:col>
      <xdr:colOff>59530</xdr:colOff>
      <xdr:row>43</xdr:row>
      <xdr:rowOff>59532</xdr:rowOff>
    </xdr:from>
    <xdr:to>
      <xdr:col>25</xdr:col>
      <xdr:colOff>458997</xdr:colOff>
      <xdr:row>46</xdr:row>
      <xdr:rowOff>67203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2655" y="6024563"/>
          <a:ext cx="2221124" cy="579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00A19A"/>
  </sheetPr>
  <dimension ref="B1:AH47"/>
  <sheetViews>
    <sheetView tabSelected="1" zoomScale="80" zoomScaleNormal="80" workbookViewId="0">
      <selection activeCell="I9" sqref="I9:M9"/>
    </sheetView>
  </sheetViews>
  <sheetFormatPr defaultColWidth="9.140625" defaultRowHeight="15" x14ac:dyDescent="0.25"/>
  <cols>
    <col min="1" max="1" width="10.7109375" style="2" customWidth="1"/>
    <col min="2" max="10" width="9.140625" style="2"/>
    <col min="11" max="11" width="12.28515625" style="2" customWidth="1"/>
    <col min="12" max="27" width="9.140625" style="2"/>
    <col min="28" max="28" width="33.140625" style="2" customWidth="1"/>
    <col min="29" max="29" width="12.140625" style="2" customWidth="1"/>
    <col min="30" max="30" width="1.85546875" style="2" customWidth="1"/>
    <col min="31" max="16384" width="9.140625" style="2"/>
  </cols>
  <sheetData>
    <row r="1" spans="2:26" ht="25.5" customHeight="1" x14ac:dyDescent="0.25"/>
    <row r="6" spans="2:26" ht="5.25" customHeight="1" x14ac:dyDescent="0.25"/>
    <row r="7" spans="2:26" ht="26.25" customHeight="1" x14ac:dyDescent="0.25">
      <c r="B7" s="81" t="s">
        <v>12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3"/>
    </row>
    <row r="8" spans="2:26" ht="7.5" customHeight="1" x14ac:dyDescent="0.25">
      <c r="B8" s="2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33"/>
    </row>
    <row r="9" spans="2:26" x14ac:dyDescent="0.25">
      <c r="B9" s="23"/>
      <c r="C9" s="24" t="s">
        <v>15</v>
      </c>
      <c r="D9" s="25"/>
      <c r="E9" s="30"/>
      <c r="F9" s="30"/>
      <c r="G9" s="30"/>
      <c r="H9" s="31" t="s">
        <v>0</v>
      </c>
      <c r="I9" s="84">
        <v>100000</v>
      </c>
      <c r="J9" s="85"/>
      <c r="K9" s="85"/>
      <c r="L9" s="85"/>
      <c r="M9" s="86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4"/>
    </row>
    <row r="10" spans="2:26" x14ac:dyDescent="0.25">
      <c r="B10" s="23"/>
      <c r="C10" s="25"/>
      <c r="D10" s="2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4"/>
    </row>
    <row r="11" spans="2:26" x14ac:dyDescent="0.25">
      <c r="B11" s="23"/>
      <c r="C11" s="24" t="s">
        <v>2</v>
      </c>
      <c r="D11" s="25"/>
      <c r="E11" s="30"/>
      <c r="F11" s="30"/>
      <c r="G11" s="30"/>
      <c r="H11" s="30"/>
      <c r="I11" s="75">
        <v>300</v>
      </c>
      <c r="J11" s="76"/>
      <c r="K11" s="76"/>
      <c r="L11" s="76"/>
      <c r="M11" s="77"/>
      <c r="N11" s="30" t="s">
        <v>5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4"/>
    </row>
    <row r="12" spans="2:26" x14ac:dyDescent="0.25">
      <c r="B12" s="23"/>
      <c r="C12" s="25"/>
      <c r="D12" s="2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4"/>
    </row>
    <row r="13" spans="2:26" x14ac:dyDescent="0.25">
      <c r="B13" s="23"/>
      <c r="C13" s="24" t="s">
        <v>1</v>
      </c>
      <c r="D13" s="25"/>
      <c r="E13" s="87" t="s">
        <v>31</v>
      </c>
      <c r="F13" s="88"/>
      <c r="G13" s="89"/>
      <c r="H13" s="30"/>
      <c r="I13" s="84">
        <v>8.25</v>
      </c>
      <c r="J13" s="85"/>
      <c r="K13" s="85"/>
      <c r="L13" s="85"/>
      <c r="M13" s="86"/>
      <c r="N13" s="30" t="s">
        <v>4</v>
      </c>
      <c r="O13" s="30" t="s">
        <v>13</v>
      </c>
      <c r="P13" s="30"/>
      <c r="Q13" s="30"/>
      <c r="R13" s="30"/>
      <c r="S13" s="31" t="s">
        <v>0</v>
      </c>
      <c r="T13" s="90">
        <f>IF(OR(I9="",I11="",I13="",I17=""),0,Lookup_CBTL!S3)</f>
        <v>788.45013468618765</v>
      </c>
      <c r="U13" s="91"/>
      <c r="V13" s="91"/>
      <c r="W13" s="92"/>
      <c r="X13" s="35" t="s">
        <v>6</v>
      </c>
      <c r="Y13" s="30"/>
      <c r="Z13" s="34"/>
    </row>
    <row r="14" spans="2:26" x14ac:dyDescent="0.25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30"/>
      <c r="Z14" s="34"/>
    </row>
    <row r="15" spans="2:26" x14ac:dyDescent="0.25">
      <c r="B15" s="23"/>
      <c r="C15" s="24" t="s">
        <v>44</v>
      </c>
      <c r="D15" s="24"/>
      <c r="E15" s="24"/>
      <c r="F15" s="24"/>
      <c r="G15" s="24"/>
      <c r="H15" s="24"/>
      <c r="I15" s="84">
        <v>11.14</v>
      </c>
      <c r="J15" s="85"/>
      <c r="K15" s="85"/>
      <c r="L15" s="85"/>
      <c r="M15" s="86"/>
      <c r="N15" s="30" t="s">
        <v>4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30"/>
      <c r="Z15" s="34"/>
    </row>
    <row r="16" spans="2:26" x14ac:dyDescent="0.25">
      <c r="B16" s="23"/>
      <c r="C16" s="25"/>
      <c r="D16" s="2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4"/>
    </row>
    <row r="17" spans="2:34" x14ac:dyDescent="0.25">
      <c r="B17" s="23"/>
      <c r="C17" s="26" t="s">
        <v>3</v>
      </c>
      <c r="D17" s="27"/>
      <c r="E17" s="32"/>
      <c r="F17" s="32"/>
      <c r="G17" s="32"/>
      <c r="H17" s="32"/>
      <c r="I17" s="78" t="s">
        <v>8</v>
      </c>
      <c r="J17" s="79"/>
      <c r="K17" s="79"/>
      <c r="L17" s="79"/>
      <c r="M17" s="80"/>
      <c r="N17" s="30"/>
      <c r="O17" s="30" t="s">
        <v>14</v>
      </c>
      <c r="P17" s="36"/>
      <c r="Q17" s="30"/>
      <c r="R17" s="30"/>
      <c r="S17" s="31" t="s">
        <v>0</v>
      </c>
      <c r="T17" s="90">
        <f>IF(OR(I9="",I11="",I13="",I17="",E13="Please select"),0,Lookup_CBTL!S4)</f>
        <v>1050.4014256065154</v>
      </c>
      <c r="U17" s="91"/>
      <c r="V17" s="91"/>
      <c r="W17" s="92"/>
      <c r="X17" s="35" t="s">
        <v>6</v>
      </c>
      <c r="Y17" s="30"/>
      <c r="Z17" s="34"/>
      <c r="AB17" s="56"/>
    </row>
    <row r="18" spans="2:34" ht="9" customHeight="1" x14ac:dyDescent="0.25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7"/>
    </row>
    <row r="19" spans="2:34" ht="6.75" customHeight="1" x14ac:dyDescent="0.25"/>
    <row r="20" spans="2:34" ht="24.75" customHeight="1" x14ac:dyDescent="0.25">
      <c r="B20" s="81" t="s">
        <v>41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3"/>
    </row>
    <row r="21" spans="2:34" ht="7.5" customHeight="1" x14ac:dyDescent="0.25">
      <c r="B21" s="22"/>
      <c r="C21" s="36"/>
      <c r="D21" s="36"/>
      <c r="E21" s="36"/>
      <c r="F21" s="36"/>
      <c r="G21" s="36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33"/>
    </row>
    <row r="22" spans="2:34" x14ac:dyDescent="0.25">
      <c r="B22" s="23"/>
      <c r="C22" s="24" t="s">
        <v>63</v>
      </c>
      <c r="D22" s="38"/>
      <c r="E22" s="38"/>
      <c r="F22" s="36"/>
      <c r="G22" s="36"/>
      <c r="H22" s="39"/>
      <c r="I22" s="78" t="s">
        <v>8</v>
      </c>
      <c r="J22" s="79"/>
      <c r="K22" s="79"/>
      <c r="L22" s="79"/>
      <c r="M22" s="80"/>
      <c r="N22" s="51"/>
      <c r="O22" s="24"/>
      <c r="P22" s="36"/>
      <c r="Q22" s="36"/>
      <c r="R22" s="36"/>
      <c r="S22" s="36"/>
      <c r="T22" s="36"/>
      <c r="U22" s="36"/>
      <c r="V22" s="36"/>
      <c r="W22" s="36"/>
      <c r="X22" s="13"/>
      <c r="Y22" s="13"/>
      <c r="Z22" s="34"/>
    </row>
    <row r="23" spans="2:34" x14ac:dyDescent="0.25">
      <c r="B23" s="23"/>
      <c r="C23" s="24"/>
      <c r="D23" s="38"/>
      <c r="E23" s="38"/>
      <c r="F23" s="36"/>
      <c r="G23" s="36"/>
      <c r="H23" s="36"/>
      <c r="I23" s="36"/>
      <c r="J23" s="36"/>
      <c r="K23" s="36"/>
      <c r="L23" s="36"/>
      <c r="M23" s="36"/>
      <c r="N23" s="36"/>
      <c r="O23" s="24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4"/>
    </row>
    <row r="24" spans="2:34" x14ac:dyDescent="0.25">
      <c r="B24" s="23"/>
      <c r="C24" s="24" t="s">
        <v>54</v>
      </c>
      <c r="D24" s="38"/>
      <c r="E24" s="38"/>
      <c r="F24" s="36"/>
      <c r="G24" s="36"/>
      <c r="H24" s="39"/>
      <c r="I24" s="72">
        <v>40179</v>
      </c>
      <c r="J24" s="73"/>
      <c r="K24" s="73"/>
      <c r="L24" s="73"/>
      <c r="M24" s="74"/>
      <c r="N24" s="51"/>
      <c r="O24" s="24" t="s">
        <v>55</v>
      </c>
      <c r="P24" s="13"/>
      <c r="Q24" s="13"/>
      <c r="R24" s="13"/>
      <c r="S24" s="39"/>
      <c r="T24" s="75">
        <v>240</v>
      </c>
      <c r="U24" s="76"/>
      <c r="V24" s="76"/>
      <c r="W24" s="77"/>
      <c r="X24" s="13"/>
      <c r="Y24" s="13"/>
      <c r="Z24" s="34"/>
    </row>
    <row r="25" spans="2:34" x14ac:dyDescent="0.25">
      <c r="B25" s="23"/>
      <c r="C25" s="24"/>
      <c r="D25" s="38"/>
      <c r="E25" s="38"/>
      <c r="F25" s="36"/>
      <c r="G25" s="36"/>
      <c r="H25" s="36"/>
      <c r="I25" s="36"/>
      <c r="J25" s="36"/>
      <c r="K25" s="36"/>
      <c r="L25" s="36"/>
      <c r="M25" s="36"/>
      <c r="N25" s="36"/>
      <c r="O25" s="24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4"/>
    </row>
    <row r="26" spans="2:34" x14ac:dyDescent="0.25">
      <c r="B26" s="23"/>
      <c r="C26" s="24" t="s">
        <v>40</v>
      </c>
      <c r="D26" s="38"/>
      <c r="E26" s="38"/>
      <c r="F26" s="36"/>
      <c r="G26" s="36"/>
      <c r="H26" s="39" t="s">
        <v>0</v>
      </c>
      <c r="I26" s="84">
        <v>500</v>
      </c>
      <c r="J26" s="85"/>
      <c r="K26" s="93"/>
      <c r="L26" s="93"/>
      <c r="M26" s="94"/>
      <c r="N26" s="51"/>
      <c r="O26" s="24" t="s">
        <v>42</v>
      </c>
      <c r="P26" s="13"/>
      <c r="Q26" s="13"/>
      <c r="R26" s="13"/>
      <c r="S26" s="39" t="s">
        <v>0</v>
      </c>
      <c r="T26" s="84">
        <v>100000</v>
      </c>
      <c r="U26" s="85"/>
      <c r="V26" s="85"/>
      <c r="W26" s="86"/>
      <c r="X26" s="13"/>
      <c r="Y26" s="13"/>
      <c r="Z26" s="34"/>
    </row>
    <row r="27" spans="2:34" ht="10.5" customHeight="1" x14ac:dyDescent="0.25">
      <c r="B27" s="28"/>
      <c r="C27" s="40"/>
      <c r="D27" s="40"/>
      <c r="E27" s="40"/>
      <c r="F27" s="40"/>
      <c r="G27" s="40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7"/>
    </row>
    <row r="28" spans="2:34" ht="6.75" customHeight="1" x14ac:dyDescent="0.25">
      <c r="AD28" s="9"/>
      <c r="AE28" s="9"/>
      <c r="AF28" s="9"/>
      <c r="AG28" s="9"/>
      <c r="AH28" s="9"/>
    </row>
    <row r="29" spans="2:34" ht="23.25" customHeight="1" x14ac:dyDescent="0.25">
      <c r="B29" s="81" t="s">
        <v>36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3"/>
      <c r="AD29" s="9"/>
      <c r="AE29" s="9"/>
      <c r="AF29" s="9"/>
      <c r="AG29" s="9"/>
      <c r="AH29" s="9"/>
    </row>
    <row r="30" spans="2:34" ht="10.5" customHeight="1" x14ac:dyDescent="0.25">
      <c r="B30" s="2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33"/>
      <c r="AD30" s="9"/>
      <c r="AE30" s="9"/>
      <c r="AF30" s="9"/>
      <c r="AG30" s="9"/>
      <c r="AH30" s="9"/>
    </row>
    <row r="31" spans="2:34" x14ac:dyDescent="0.25">
      <c r="B31" s="23"/>
      <c r="C31" s="24" t="s">
        <v>17</v>
      </c>
      <c r="D31" s="25"/>
      <c r="E31" s="30"/>
      <c r="F31" s="30"/>
      <c r="G31" s="30"/>
      <c r="H31" s="31" t="s">
        <v>0</v>
      </c>
      <c r="I31" s="84">
        <v>2000</v>
      </c>
      <c r="J31" s="85"/>
      <c r="K31" s="85"/>
      <c r="L31" s="85"/>
      <c r="M31" s="86"/>
      <c r="N31" s="30"/>
      <c r="O31" s="95" t="s">
        <v>19</v>
      </c>
      <c r="P31" s="96"/>
      <c r="Q31" s="97"/>
      <c r="R31" s="30"/>
      <c r="S31" s="30"/>
      <c r="T31" s="30"/>
      <c r="U31" s="30"/>
      <c r="V31" s="30"/>
      <c r="W31" s="30"/>
      <c r="X31" s="30"/>
      <c r="Y31" s="30"/>
      <c r="Z31" s="34"/>
      <c r="AD31" s="59"/>
      <c r="AE31" s="9"/>
      <c r="AF31" s="9"/>
      <c r="AG31" s="9"/>
      <c r="AH31" s="9"/>
    </row>
    <row r="32" spans="2:34" ht="11.25" customHeight="1" x14ac:dyDescent="0.25">
      <c r="B32" s="28"/>
      <c r="C32" s="41"/>
      <c r="D32" s="41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7"/>
      <c r="AD32" s="9"/>
      <c r="AE32" s="9"/>
      <c r="AF32" s="9"/>
      <c r="AG32" s="9"/>
      <c r="AH32" s="9"/>
    </row>
    <row r="33" spans="2:34" ht="7.5" customHeight="1" thickBot="1" x14ac:dyDescent="0.3">
      <c r="AD33" s="9"/>
      <c r="AE33" s="9"/>
      <c r="AF33" s="9"/>
      <c r="AG33" s="60"/>
      <c r="AH33" s="4"/>
    </row>
    <row r="34" spans="2:34" ht="23.25" customHeight="1" x14ac:dyDescent="0.25">
      <c r="B34" s="102" t="s">
        <v>21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4"/>
      <c r="AD34" s="9"/>
      <c r="AE34" s="9"/>
      <c r="AF34" s="9"/>
      <c r="AG34" s="9"/>
      <c r="AH34" s="9"/>
    </row>
    <row r="35" spans="2:34" ht="8.25" customHeight="1" x14ac:dyDescent="0.25"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4"/>
      <c r="AD35" s="9"/>
      <c r="AE35" s="9"/>
      <c r="AF35" s="9"/>
      <c r="AG35" s="9"/>
      <c r="AH35" s="9"/>
    </row>
    <row r="36" spans="2:34" ht="24.75" hidden="1" customHeight="1" x14ac:dyDescent="0.25">
      <c r="B36" s="48"/>
      <c r="C36" s="25" t="s">
        <v>29</v>
      </c>
      <c r="D36" s="25"/>
      <c r="E36" s="25"/>
      <c r="F36" s="25"/>
      <c r="G36" s="25"/>
      <c r="H36" s="42" t="s">
        <v>30</v>
      </c>
      <c r="I36" s="25"/>
      <c r="J36" s="30" t="s">
        <v>20</v>
      </c>
      <c r="K36" s="43">
        <f>Lookup_CBTL!C9/Lookup_CBTL!C10</f>
        <v>1.680158154143276</v>
      </c>
      <c r="L36" s="13"/>
      <c r="M36" s="98" t="str">
        <f>IF(K36=0,"",IF($K$36&gt;=$C$40,Lookup_CBTL!C13,Lookup_CBTL!C14))</f>
        <v>ACCEPT</v>
      </c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100"/>
      <c r="Z36" s="49"/>
    </row>
    <row r="37" spans="2:34" ht="24.75" customHeight="1" x14ac:dyDescent="0.25">
      <c r="B37" s="48"/>
      <c r="C37" s="24" t="s">
        <v>33</v>
      </c>
      <c r="D37" s="25"/>
      <c r="E37" s="25"/>
      <c r="F37" s="25"/>
      <c r="G37" s="25"/>
      <c r="H37" s="42"/>
      <c r="I37" s="25"/>
      <c r="J37" s="30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9"/>
    </row>
    <row r="38" spans="2:34" x14ac:dyDescent="0.25">
      <c r="B38" s="15"/>
      <c r="C38" s="105" t="s">
        <v>7</v>
      </c>
      <c r="D38" s="105"/>
      <c r="E38" s="105"/>
      <c r="F38" s="38"/>
      <c r="G38" s="13"/>
      <c r="H38" s="13"/>
      <c r="I38" s="13"/>
      <c r="J38" s="13"/>
      <c r="K38" s="44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4"/>
    </row>
    <row r="39" spans="2:34" x14ac:dyDescent="0.25">
      <c r="B39" s="48"/>
      <c r="C39" s="25"/>
      <c r="D39" s="25"/>
      <c r="E39" s="44"/>
      <c r="F39" s="45"/>
      <c r="G39" s="46"/>
      <c r="H39" s="46"/>
      <c r="I39" s="30"/>
      <c r="J39" s="24"/>
      <c r="K39" s="30"/>
      <c r="L39" s="30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49"/>
    </row>
    <row r="40" spans="2:34" ht="15.75" thickBot="1" x14ac:dyDescent="0.3">
      <c r="B40" s="48"/>
      <c r="C40" s="25"/>
      <c r="D40" s="25"/>
      <c r="E40" s="44"/>
      <c r="F40" s="45"/>
      <c r="G40" s="46"/>
      <c r="H40" s="46"/>
      <c r="I40" s="30"/>
      <c r="J40" s="24"/>
      <c r="K40" s="30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49"/>
    </row>
    <row r="41" spans="2:34" ht="21.75" customHeight="1" thickBot="1" x14ac:dyDescent="0.3">
      <c r="B41" s="48"/>
      <c r="C41" s="53" t="s">
        <v>29</v>
      </c>
      <c r="D41" s="52"/>
      <c r="E41" s="1">
        <f>IF(C38="Additional Rate Tax Payer",165%,IF(C38="High Rate Tax Payer",145%,125%))</f>
        <v>1.25</v>
      </c>
      <c r="F41" s="45"/>
      <c r="G41" s="46"/>
      <c r="H41" s="47" t="s">
        <v>28</v>
      </c>
      <c r="I41" s="30"/>
      <c r="J41" s="30" t="s">
        <v>20</v>
      </c>
      <c r="K41" s="50">
        <f ca="1">Lookup_CBTL!D9/Lookup_CBTL!D10</f>
        <v>1.3873353128721733</v>
      </c>
      <c r="L41" s="13"/>
      <c r="M41" s="101" t="str">
        <f ca="1">IF(K41=0,"",IF($K$41&gt;=$E$41,Lookup_CBTL!C13,Lookup_CBTL!C14))</f>
        <v>ACCEPT</v>
      </c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49"/>
    </row>
    <row r="42" spans="2:34" x14ac:dyDescent="0.25">
      <c r="B42" s="48"/>
      <c r="C42" s="24"/>
      <c r="D42" s="25"/>
      <c r="E42" s="25"/>
      <c r="F42" s="25"/>
      <c r="G42" s="30"/>
      <c r="H42" s="25"/>
      <c r="I42" s="44"/>
      <c r="J42" s="30"/>
      <c r="K42" s="24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49"/>
    </row>
    <row r="43" spans="2:34" x14ac:dyDescent="0.25">
      <c r="B43" s="15"/>
      <c r="C43" s="51"/>
      <c r="D43" s="5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4"/>
    </row>
    <row r="44" spans="2:34" x14ac:dyDescent="0.25">
      <c r="B44" s="15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4"/>
    </row>
    <row r="45" spans="2:34" x14ac:dyDescent="0.25">
      <c r="B45" s="15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4"/>
    </row>
    <row r="46" spans="2:34" x14ac:dyDescent="0.25">
      <c r="B46" s="15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4"/>
    </row>
    <row r="47" spans="2:34" ht="15.75" thickBot="1" x14ac:dyDescent="0.3">
      <c r="B47" s="1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7"/>
    </row>
  </sheetData>
  <sheetProtection algorithmName="SHA-512" hashValue="u8ymwA519oTuupO+MFYVj6buyHlgywGCXptGNPufTFe332vBb/7gvzInz2knU2go0yplkL5ZhmH4R72N9XPHJA==" saltValue="4viK4QSUcJNsE9Mzji0EUg==" spinCount="100000" sheet="1" selectLockedCells="1"/>
  <mergeCells count="22">
    <mergeCell ref="I31:M31"/>
    <mergeCell ref="O31:Q31"/>
    <mergeCell ref="M36:Y36"/>
    <mergeCell ref="M41:Y41"/>
    <mergeCell ref="B34:Z34"/>
    <mergeCell ref="C38:E38"/>
    <mergeCell ref="I24:M24"/>
    <mergeCell ref="T24:W24"/>
    <mergeCell ref="I22:M22"/>
    <mergeCell ref="B29:Z29"/>
    <mergeCell ref="B7:Z7"/>
    <mergeCell ref="I9:M9"/>
    <mergeCell ref="I11:M11"/>
    <mergeCell ref="E13:G13"/>
    <mergeCell ref="I13:M13"/>
    <mergeCell ref="T13:W13"/>
    <mergeCell ref="I17:M17"/>
    <mergeCell ref="T17:W17"/>
    <mergeCell ref="B20:Z20"/>
    <mergeCell ref="I26:M26"/>
    <mergeCell ref="T26:W26"/>
    <mergeCell ref="I15:M1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Lookup_CBTL!$B$3:$B$5</xm:f>
          </x14:formula1>
          <xm:sqref>O31:Q31</xm:sqref>
        </x14:dataValidation>
        <x14:dataValidation type="list" allowBlank="1" showInputMessage="1" showErrorMessage="1" xr:uid="{00000000-0002-0000-0000-000001000000}">
          <x14:formula1>
            <xm:f>Lookup_CBTL!$E$3:$E$5</xm:f>
          </x14:formula1>
          <xm:sqref>E13:G13</xm:sqref>
        </x14:dataValidation>
        <x14:dataValidation type="list" allowBlank="1" showInputMessage="1" showErrorMessage="1" xr:uid="{00000000-0002-0000-0000-000002000000}">
          <x14:formula1>
            <xm:f>Lookup_CBTL!$H$3:$H$5</xm:f>
          </x14:formula1>
          <xm:sqref>I17:M17</xm:sqref>
        </x14:dataValidation>
        <x14:dataValidation type="list" allowBlank="1" showInputMessage="1" showErrorMessage="1" xr:uid="{00000000-0002-0000-0000-000003000000}">
          <x14:formula1>
            <xm:f>Lookup_CBTL!$L$8:$L$11</xm:f>
          </x14:formula1>
          <xm:sqref>C38:E38</xm:sqref>
        </x14:dataValidation>
        <x14:dataValidation type="list" allowBlank="1" showInputMessage="1" showErrorMessage="1" xr:uid="{08FB2044-EE8E-423A-9A9E-959AF65E3FA1}">
          <x14:formula1>
            <xm:f>Lookup_CBTL!$H$4:$H$5</xm:f>
          </x14:formula1>
          <xm:sqref>I22:M22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AF50"/>
  <sheetViews>
    <sheetView zoomScale="85" zoomScaleNormal="85" workbookViewId="0">
      <selection activeCell="H23" sqref="H23"/>
    </sheetView>
  </sheetViews>
  <sheetFormatPr defaultRowHeight="15" x14ac:dyDescent="0.25"/>
  <cols>
    <col min="1" max="1" width="3.28515625" customWidth="1"/>
    <col min="18" max="18" width="19" customWidth="1"/>
    <col min="20" max="20" width="4.42578125" customWidth="1"/>
    <col min="21" max="21" width="16.28515625" bestFit="1" customWidth="1"/>
    <col min="22" max="22" width="12.5703125" bestFit="1" customWidth="1"/>
    <col min="24" max="24" width="11.140625" customWidth="1"/>
    <col min="26" max="30" width="10" customWidth="1"/>
  </cols>
  <sheetData>
    <row r="1" spans="1:3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9"/>
      <c r="U1" s="9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0" t="s">
        <v>61</v>
      </c>
      <c r="S2" s="9"/>
      <c r="T2" s="9"/>
      <c r="U2" s="9"/>
      <c r="V2" s="67" t="s">
        <v>45</v>
      </c>
      <c r="W2" s="66"/>
      <c r="X2" s="61" t="s">
        <v>53</v>
      </c>
      <c r="Y2" s="2"/>
      <c r="Z2" s="106" t="s">
        <v>56</v>
      </c>
      <c r="AA2" s="106" t="s">
        <v>57</v>
      </c>
      <c r="AB2" s="106" t="s">
        <v>58</v>
      </c>
      <c r="AC2" s="106" t="s">
        <v>59</v>
      </c>
      <c r="AD2" s="106" t="s">
        <v>60</v>
      </c>
      <c r="AE2" s="2"/>
      <c r="AF2" s="2"/>
    </row>
    <row r="3" spans="1:32" x14ac:dyDescent="0.25">
      <c r="A3" s="2"/>
      <c r="B3" s="2" t="s">
        <v>7</v>
      </c>
      <c r="C3" s="2"/>
      <c r="D3" s="2"/>
      <c r="E3" s="2" t="s">
        <v>16</v>
      </c>
      <c r="F3" s="2"/>
      <c r="G3" s="2"/>
      <c r="H3" s="2" t="s">
        <v>7</v>
      </c>
      <c r="I3" s="2"/>
      <c r="J3" s="2"/>
      <c r="K3" s="2" t="s">
        <v>7</v>
      </c>
      <c r="L3" s="2"/>
      <c r="M3" s="2"/>
      <c r="N3" s="2"/>
      <c r="O3" s="2"/>
      <c r="P3" s="3" t="s">
        <v>25</v>
      </c>
      <c r="Q3" s="2"/>
      <c r="R3" s="57" t="s">
        <v>46</v>
      </c>
      <c r="S3" s="58">
        <f>IF('CBTL ICR'!I17="Capital Repayment",W9,W12)</f>
        <v>788.45013468618765</v>
      </c>
      <c r="T3" s="9"/>
      <c r="U3" s="9"/>
      <c r="V3" s="108" t="s">
        <v>16</v>
      </c>
      <c r="W3" s="109"/>
      <c r="X3" s="62">
        <v>0.01</v>
      </c>
      <c r="Y3" s="2"/>
      <c r="Z3" s="107"/>
      <c r="AA3" s="107"/>
      <c r="AB3" s="107"/>
      <c r="AC3" s="107"/>
      <c r="AD3" s="107"/>
      <c r="AE3" s="2"/>
      <c r="AF3" s="2"/>
    </row>
    <row r="4" spans="1:32" x14ac:dyDescent="0.25">
      <c r="A4" s="2"/>
      <c r="B4" s="2" t="s">
        <v>18</v>
      </c>
      <c r="C4" s="2"/>
      <c r="D4" s="2"/>
      <c r="E4" s="2" t="s">
        <v>31</v>
      </c>
      <c r="F4" s="2"/>
      <c r="G4" s="2"/>
      <c r="H4" s="2" t="s">
        <v>8</v>
      </c>
      <c r="I4" s="2"/>
      <c r="J4" s="2"/>
      <c r="K4" s="2" t="s">
        <v>10</v>
      </c>
      <c r="L4" s="2"/>
      <c r="M4" s="2"/>
      <c r="N4" s="2"/>
      <c r="O4" s="2"/>
      <c r="P4" s="4">
        <v>1</v>
      </c>
      <c r="Q4" s="5" t="s">
        <v>4</v>
      </c>
      <c r="R4" s="57" t="s">
        <v>48</v>
      </c>
      <c r="S4" s="58">
        <f>IF('CBTL ICR'!I17="Capital Repayment",VLOOKUP('CBTL ICR'!E13,V9:X11,3,FALSE),VLOOKUP('CBTL ICR'!E13,V12:X14,3,FALSE))</f>
        <v>1050.4014256065154</v>
      </c>
      <c r="T4" s="9"/>
      <c r="U4" s="9"/>
      <c r="V4" s="108" t="s">
        <v>49</v>
      </c>
      <c r="W4" s="109"/>
      <c r="X4" s="62">
        <v>0.01</v>
      </c>
      <c r="Y4" s="2"/>
      <c r="Z4" s="68">
        <v>0</v>
      </c>
      <c r="AA4" s="69">
        <v>0</v>
      </c>
      <c r="AB4" s="69">
        <v>0</v>
      </c>
      <c r="AC4" s="69">
        <v>0</v>
      </c>
      <c r="AD4" s="69">
        <v>0</v>
      </c>
      <c r="AE4" s="2"/>
      <c r="AF4" s="2"/>
    </row>
    <row r="5" spans="1:32" x14ac:dyDescent="0.25">
      <c r="A5" s="2"/>
      <c r="B5" s="2" t="s">
        <v>19</v>
      </c>
      <c r="C5" s="2"/>
      <c r="D5" s="2"/>
      <c r="E5" s="2" t="s">
        <v>32</v>
      </c>
      <c r="F5" s="2"/>
      <c r="G5" s="2"/>
      <c r="H5" s="2" t="s">
        <v>9</v>
      </c>
      <c r="I5" s="2"/>
      <c r="J5" s="2"/>
      <c r="K5" s="2" t="s">
        <v>11</v>
      </c>
      <c r="L5" s="2"/>
      <c r="M5" s="2"/>
      <c r="N5" s="2"/>
      <c r="O5" s="2"/>
      <c r="P5" s="2"/>
      <c r="Q5" s="2"/>
      <c r="R5" s="9"/>
      <c r="S5" s="9"/>
      <c r="T5" s="9"/>
      <c r="U5" s="9"/>
      <c r="V5" s="108" t="s">
        <v>50</v>
      </c>
      <c r="W5" s="109"/>
      <c r="X5" s="62">
        <v>0</v>
      </c>
      <c r="Y5" s="2"/>
      <c r="Z5" s="68">
        <v>1</v>
      </c>
      <c r="AA5" s="69">
        <v>0.02</v>
      </c>
      <c r="AB5" s="69">
        <v>0.01</v>
      </c>
      <c r="AC5" s="69">
        <v>0.01</v>
      </c>
      <c r="AD5" s="69">
        <v>0</v>
      </c>
      <c r="AE5" s="2"/>
      <c r="AF5" s="2"/>
    </row>
    <row r="6" spans="1:3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9"/>
      <c r="U6" s="9"/>
      <c r="V6" s="9"/>
      <c r="W6" s="9"/>
      <c r="X6" s="9"/>
      <c r="Y6" s="2"/>
      <c r="Z6" s="68">
        <v>2</v>
      </c>
      <c r="AA6" s="69">
        <v>0.03</v>
      </c>
      <c r="AB6" s="69">
        <v>0.02</v>
      </c>
      <c r="AC6" s="69">
        <v>0.01</v>
      </c>
      <c r="AD6" s="69">
        <v>0</v>
      </c>
      <c r="AE6" s="2"/>
      <c r="AF6" s="2"/>
    </row>
    <row r="7" spans="1:32" x14ac:dyDescent="0.25">
      <c r="A7" s="2"/>
      <c r="B7" s="6"/>
      <c r="C7" s="2"/>
      <c r="D7" s="2"/>
      <c r="E7" s="7"/>
      <c r="F7" s="7"/>
      <c r="G7" s="7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  <c r="T7" s="9"/>
      <c r="U7" s="112" t="s">
        <v>51</v>
      </c>
      <c r="V7" s="112" t="s">
        <v>45</v>
      </c>
      <c r="W7" s="112" t="s">
        <v>46</v>
      </c>
      <c r="X7" s="65"/>
      <c r="Y7" s="2"/>
      <c r="Z7" s="68">
        <v>3</v>
      </c>
      <c r="AA7" s="69">
        <v>0.05</v>
      </c>
      <c r="AB7" s="69">
        <v>0.03</v>
      </c>
      <c r="AC7" s="69">
        <v>0.02</v>
      </c>
      <c r="AD7" s="69">
        <v>0</v>
      </c>
      <c r="AE7" s="2"/>
      <c r="AF7" s="2"/>
    </row>
    <row r="8" spans="1:32" x14ac:dyDescent="0.25">
      <c r="A8" s="2"/>
      <c r="B8" s="6" t="s">
        <v>20</v>
      </c>
      <c r="C8" s="2"/>
      <c r="D8" s="2" t="s">
        <v>26</v>
      </c>
      <c r="E8" s="8"/>
      <c r="F8" s="6"/>
      <c r="G8" s="2"/>
      <c r="H8" s="2" t="s">
        <v>27</v>
      </c>
      <c r="I8" s="2"/>
      <c r="J8" s="2"/>
      <c r="K8" s="2"/>
      <c r="L8" s="2" t="s">
        <v>7</v>
      </c>
      <c r="M8" s="2"/>
      <c r="N8" s="2"/>
      <c r="O8" s="2"/>
      <c r="P8" s="2"/>
      <c r="Q8" s="2"/>
      <c r="R8" s="2"/>
      <c r="S8" s="2"/>
      <c r="T8" s="9"/>
      <c r="U8" s="112"/>
      <c r="V8" s="112"/>
      <c r="W8" s="112"/>
      <c r="X8" s="61" t="s">
        <v>47</v>
      </c>
      <c r="Y8" s="2"/>
      <c r="Z8" s="68">
        <v>4</v>
      </c>
      <c r="AA8" s="69">
        <v>0.06</v>
      </c>
      <c r="AB8" s="69">
        <v>0.04</v>
      </c>
      <c r="AC8" s="69">
        <v>0.02</v>
      </c>
      <c r="AD8" s="69">
        <v>0</v>
      </c>
      <c r="AE8" s="2"/>
      <c r="AF8" s="2"/>
    </row>
    <row r="9" spans="1:32" x14ac:dyDescent="0.25">
      <c r="A9" s="2"/>
      <c r="B9" s="2" t="s">
        <v>22</v>
      </c>
      <c r="C9" s="21">
        <f>(IF('CBTL ICR'!$O$31="Projected",'CBTL ICR'!$I$31*90%, IF('CBTL ICR'!$O$31="Actual",'CBTL ICR'!$I$31,"")))*(1+B26)</f>
        <v>2164.8000000000002</v>
      </c>
      <c r="D9" s="2">
        <f>(IF('CBTL ICR'!$O$31="Projected",'CBTL ICR'!$I$31*90%, IF('CBTL ICR'!$O$31="Actual",'CBTL ICR'!$I$31,"")))*(1+B26)</f>
        <v>2164.8000000000002</v>
      </c>
      <c r="E9" s="2"/>
      <c r="F9" s="8"/>
      <c r="G9" s="2"/>
      <c r="H9" s="2" t="s">
        <v>10</v>
      </c>
      <c r="I9" s="2"/>
      <c r="J9" s="2"/>
      <c r="K9" s="2"/>
      <c r="L9" s="2" t="s">
        <v>34</v>
      </c>
      <c r="M9" s="2"/>
      <c r="N9" s="2"/>
      <c r="O9" s="2"/>
      <c r="P9" s="2"/>
      <c r="Q9" s="2"/>
      <c r="R9" s="2"/>
      <c r="S9" s="2"/>
      <c r="T9" s="9"/>
      <c r="U9" s="110" t="s">
        <v>52</v>
      </c>
      <c r="V9" s="63" t="s">
        <v>16</v>
      </c>
      <c r="W9" s="111">
        <f>-PMT('CBTL ICR'!$I$13/100/12,'CBTL ICR'!$I$11,'CBTL ICR'!$I$9,)</f>
        <v>788.45013468618765</v>
      </c>
      <c r="X9" s="64">
        <f>-PMT((('CBTL ICR'!$I$13/100)+X3)/12,'CBTL ICR'!$I$11,'CBTL ICR'!$I$9,)</f>
        <v>856.3818427409542</v>
      </c>
      <c r="Y9" s="2"/>
      <c r="Z9" s="68">
        <v>5</v>
      </c>
      <c r="AA9" s="69">
        <v>7.0000000000000007E-2</v>
      </c>
      <c r="AB9" s="69">
        <v>0.05</v>
      </c>
      <c r="AC9" s="69">
        <v>0.02</v>
      </c>
      <c r="AD9" s="69">
        <v>0</v>
      </c>
      <c r="AE9" s="2"/>
      <c r="AF9" s="2"/>
    </row>
    <row r="10" spans="1:32" x14ac:dyDescent="0.25">
      <c r="A10" s="2"/>
      <c r="B10" s="2" t="s">
        <v>23</v>
      </c>
      <c r="C10" s="19">
        <f>S3+S25</f>
        <v>1288.4501346861875</v>
      </c>
      <c r="D10" s="54">
        <f ca="1">S4+S28</f>
        <v>1560.4014256065154</v>
      </c>
      <c r="E10" s="2"/>
      <c r="F10" s="8"/>
      <c r="G10" s="2"/>
      <c r="H10" s="2" t="s">
        <v>11</v>
      </c>
      <c r="I10" s="2"/>
      <c r="J10" s="2"/>
      <c r="K10" s="2"/>
      <c r="L10" s="2" t="s">
        <v>35</v>
      </c>
      <c r="M10" s="2"/>
      <c r="N10" s="2"/>
      <c r="O10" s="2"/>
      <c r="P10" s="2"/>
      <c r="Q10" s="2"/>
      <c r="R10" s="9"/>
      <c r="S10" s="9"/>
      <c r="T10" s="9"/>
      <c r="U10" s="110"/>
      <c r="V10" s="63" t="s">
        <v>31</v>
      </c>
      <c r="W10" s="111"/>
      <c r="X10" s="64">
        <f>MAX($W$9,-PMT((('CBTL ICR'!$I$15/100)+X4)/12,'CBTL ICR'!$I$11-$S12,FV('CBTL ICR'!$I$13/100/12,$S12,$W$9,-'CBTL ICR'!$I$9,),))</f>
        <v>1050.4014256065154</v>
      </c>
      <c r="Y10" s="2"/>
      <c r="Z10" s="68">
        <v>6</v>
      </c>
      <c r="AA10" s="69">
        <v>0.09</v>
      </c>
      <c r="AB10" s="69">
        <v>0.06</v>
      </c>
      <c r="AC10" s="69">
        <v>0.03</v>
      </c>
      <c r="AD10" s="69">
        <v>0</v>
      </c>
      <c r="AE10" s="2"/>
      <c r="AF10" s="2"/>
    </row>
    <row r="11" spans="1:32" x14ac:dyDescent="0.25">
      <c r="A11" s="2"/>
      <c r="B11" s="2"/>
      <c r="C11" s="20">
        <f>C9/C10</f>
        <v>1.680158154143276</v>
      </c>
      <c r="D11" s="20">
        <f ca="1">D9/D10</f>
        <v>1.3873353128721733</v>
      </c>
      <c r="E11" s="2"/>
      <c r="F11" s="2"/>
      <c r="G11" s="2"/>
      <c r="H11" s="2"/>
      <c r="I11" s="2"/>
      <c r="J11" s="2"/>
      <c r="K11" s="2"/>
      <c r="L11" s="2" t="s">
        <v>38</v>
      </c>
      <c r="M11" s="2"/>
      <c r="N11" s="2"/>
      <c r="O11" s="2"/>
      <c r="P11" s="2"/>
      <c r="Q11" s="2"/>
      <c r="R11" s="9"/>
      <c r="S11" s="9"/>
      <c r="T11" s="9"/>
      <c r="U11" s="110"/>
      <c r="V11" s="63" t="s">
        <v>32</v>
      </c>
      <c r="W11" s="111"/>
      <c r="X11" s="64">
        <f>$W$9</f>
        <v>788.45013468618765</v>
      </c>
      <c r="Y11" s="2"/>
      <c r="Z11" s="68">
        <v>7</v>
      </c>
      <c r="AA11" s="69">
        <v>0.1</v>
      </c>
      <c r="AB11" s="69">
        <v>7.0000000000000007E-2</v>
      </c>
      <c r="AC11" s="69">
        <v>0.03</v>
      </c>
      <c r="AD11" s="69">
        <v>0</v>
      </c>
      <c r="AE11" s="2"/>
      <c r="AF11" s="2"/>
    </row>
    <row r="12" spans="1:3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9"/>
      <c r="S12" s="4">
        <v>24</v>
      </c>
      <c r="T12" s="9"/>
      <c r="U12" s="110" t="s">
        <v>9</v>
      </c>
      <c r="V12" s="63" t="s">
        <v>16</v>
      </c>
      <c r="W12" s="111">
        <f>'CBTL ICR'!$I$9*('CBTL ICR'!$I$13/100/12)</f>
        <v>687.5</v>
      </c>
      <c r="X12" s="64">
        <f>'CBTL ICR'!$I$9*(('CBTL ICR'!$I$13/100)+X3)/12</f>
        <v>770.83333333333337</v>
      </c>
      <c r="Y12" s="2"/>
      <c r="Z12" s="68">
        <v>8</v>
      </c>
      <c r="AA12" s="69">
        <v>0.12</v>
      </c>
      <c r="AB12" s="69">
        <v>0.08</v>
      </c>
      <c r="AC12" s="69">
        <v>0.04</v>
      </c>
      <c r="AD12" s="69">
        <v>0</v>
      </c>
      <c r="AE12" s="2"/>
      <c r="AF12" s="2"/>
    </row>
    <row r="13" spans="1:32" x14ac:dyDescent="0.25">
      <c r="A13" s="2"/>
      <c r="B13" s="2"/>
      <c r="C13" s="2" t="s">
        <v>24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9"/>
      <c r="S13" s="4">
        <v>60</v>
      </c>
      <c r="T13" s="9"/>
      <c r="U13" s="110"/>
      <c r="V13" s="63" t="s">
        <v>31</v>
      </c>
      <c r="W13" s="111"/>
      <c r="X13" s="64">
        <f>MAX($W$12,'CBTL ICR'!$I$9*(('CBTL ICR'!$I$15/100)+X4)/12)</f>
        <v>1011.6666666666666</v>
      </c>
      <c r="Y13" s="2"/>
      <c r="Z13" s="68">
        <v>9</v>
      </c>
      <c r="AA13" s="69">
        <v>0.13</v>
      </c>
      <c r="AB13" s="69">
        <v>0.09</v>
      </c>
      <c r="AC13" s="69">
        <v>0.04</v>
      </c>
      <c r="AD13" s="69">
        <v>0</v>
      </c>
      <c r="AE13" s="2"/>
      <c r="AF13" s="2"/>
    </row>
    <row r="14" spans="1:32" x14ac:dyDescent="0.25">
      <c r="A14" s="2"/>
      <c r="B14" s="2"/>
      <c r="C14" s="2" t="s">
        <v>37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9"/>
      <c r="S14" s="4"/>
      <c r="T14" s="9"/>
      <c r="U14" s="110"/>
      <c r="V14" s="63" t="s">
        <v>32</v>
      </c>
      <c r="W14" s="111"/>
      <c r="X14" s="64">
        <f>$W$12</f>
        <v>687.5</v>
      </c>
      <c r="Y14" s="2"/>
      <c r="Z14" s="68">
        <v>10</v>
      </c>
      <c r="AA14" s="69">
        <v>0.14000000000000001</v>
      </c>
      <c r="AB14" s="69">
        <v>0.09</v>
      </c>
      <c r="AC14" s="69">
        <v>0.05</v>
      </c>
      <c r="AD14" s="69">
        <v>0</v>
      </c>
      <c r="AE14" s="2"/>
      <c r="AF14" s="2"/>
    </row>
    <row r="15" spans="1:3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9"/>
      <c r="S15" s="4">
        <v>24</v>
      </c>
      <c r="T15" s="2"/>
      <c r="U15" s="2"/>
      <c r="V15" s="2"/>
      <c r="W15" s="2"/>
      <c r="X15" s="2"/>
      <c r="Y15" s="2"/>
      <c r="Z15" s="68">
        <v>11</v>
      </c>
      <c r="AA15" s="69">
        <v>0.16</v>
      </c>
      <c r="AB15" s="69">
        <v>0.11</v>
      </c>
      <c r="AC15" s="69">
        <v>0.05</v>
      </c>
      <c r="AD15" s="69">
        <v>0</v>
      </c>
      <c r="AE15" s="2"/>
      <c r="AF15" s="2"/>
    </row>
    <row r="16" spans="1:3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9"/>
      <c r="S16" s="4">
        <v>60</v>
      </c>
      <c r="T16" s="2"/>
      <c r="U16" s="2"/>
      <c r="V16" s="2"/>
      <c r="W16" s="2"/>
      <c r="X16" s="2"/>
      <c r="Y16" s="2"/>
      <c r="Z16" s="68">
        <v>12</v>
      </c>
      <c r="AA16" s="69">
        <v>0.17</v>
      </c>
      <c r="AB16" s="69">
        <v>0.11</v>
      </c>
      <c r="AC16" s="69">
        <v>0.06</v>
      </c>
      <c r="AD16" s="69">
        <v>0</v>
      </c>
      <c r="AE16" s="2"/>
      <c r="AF16" s="2"/>
    </row>
    <row r="17" spans="1:32" x14ac:dyDescent="0.25">
      <c r="A17" s="2"/>
      <c r="B17" s="2"/>
      <c r="C17" s="2" t="s">
        <v>43</v>
      </c>
      <c r="D17" s="2"/>
      <c r="E17" s="2"/>
      <c r="F17" s="2"/>
      <c r="G17" s="2"/>
      <c r="H17" s="2"/>
      <c r="I17" s="2"/>
      <c r="J17" s="2"/>
      <c r="K17" s="2"/>
      <c r="L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68">
        <v>13</v>
      </c>
      <c r="AA17" s="69">
        <v>0.18</v>
      </c>
      <c r="AB17" s="69">
        <v>0.12</v>
      </c>
      <c r="AC17" s="69">
        <v>0.06</v>
      </c>
      <c r="AD17" s="69">
        <v>0</v>
      </c>
      <c r="AE17" s="2"/>
      <c r="AF17" s="2"/>
    </row>
    <row r="18" spans="1:32" x14ac:dyDescent="0.25">
      <c r="A18" s="2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68">
        <v>14</v>
      </c>
      <c r="AA18" s="69">
        <v>0.2</v>
      </c>
      <c r="AB18" s="69">
        <v>0.13</v>
      </c>
      <c r="AC18" s="69">
        <v>7.0000000000000007E-2</v>
      </c>
      <c r="AD18" s="69">
        <v>0</v>
      </c>
      <c r="AE18" s="2"/>
      <c r="AF18" s="2"/>
    </row>
    <row r="19" spans="1:3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68">
        <v>15</v>
      </c>
      <c r="AA19" s="69">
        <v>0.21</v>
      </c>
      <c r="AB19" s="69">
        <v>0.14000000000000001</v>
      </c>
      <c r="AC19" s="69">
        <v>7.0000000000000007E-2</v>
      </c>
      <c r="AD19" s="69">
        <v>0</v>
      </c>
      <c r="AE19" s="2"/>
      <c r="AF19" s="2"/>
    </row>
    <row r="20" spans="1:32" x14ac:dyDescent="0.25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2"/>
      <c r="M20" s="2"/>
      <c r="N20" s="2"/>
      <c r="O20" s="2"/>
      <c r="Q20" s="2"/>
      <c r="R20" s="2"/>
      <c r="S20" s="2"/>
      <c r="T20" s="2"/>
      <c r="U20" s="2"/>
      <c r="V20" s="2"/>
      <c r="W20" s="2"/>
      <c r="X20" s="2"/>
      <c r="Y20" s="2"/>
      <c r="Z20" s="68">
        <v>16</v>
      </c>
      <c r="AA20" s="69">
        <v>0.22</v>
      </c>
      <c r="AB20" s="69">
        <v>0.15</v>
      </c>
      <c r="AC20" s="69">
        <v>7.0000000000000007E-2</v>
      </c>
      <c r="AD20" s="69">
        <v>0</v>
      </c>
      <c r="AE20" s="2"/>
      <c r="AF20" s="2"/>
    </row>
    <row r="21" spans="1:3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R21" s="2"/>
      <c r="S21" s="2"/>
      <c r="T21" s="2"/>
      <c r="U21" s="2"/>
      <c r="V21" s="2"/>
      <c r="W21" s="2"/>
      <c r="X21" s="2"/>
      <c r="Y21" s="2"/>
      <c r="Z21" s="68">
        <v>17</v>
      </c>
      <c r="AA21" s="69">
        <v>0.23</v>
      </c>
      <c r="AB21" s="69">
        <v>0.15</v>
      </c>
      <c r="AC21" s="69">
        <v>0.08</v>
      </c>
      <c r="AD21" s="69">
        <v>0</v>
      </c>
      <c r="AE21" s="2"/>
      <c r="AF21" s="2"/>
    </row>
    <row r="22" spans="1:3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68">
        <v>18</v>
      </c>
      <c r="AA22" s="69">
        <v>0.24</v>
      </c>
      <c r="AB22" s="69">
        <v>0.16</v>
      </c>
      <c r="AC22" s="69">
        <v>0.08</v>
      </c>
      <c r="AD22" s="69">
        <v>0</v>
      </c>
      <c r="AE22" s="2"/>
      <c r="AF22" s="2"/>
    </row>
    <row r="23" spans="1:32" x14ac:dyDescent="0.25">
      <c r="A23" s="2"/>
      <c r="B23" s="10"/>
      <c r="C23" s="11"/>
      <c r="D23" s="7"/>
      <c r="E23" s="11"/>
      <c r="F23" s="7"/>
      <c r="G23" s="11"/>
      <c r="H23" s="10"/>
      <c r="I23" s="11"/>
      <c r="J23" s="10"/>
      <c r="K23" s="2"/>
      <c r="L23" s="2"/>
      <c r="M23" s="2"/>
      <c r="N23" s="2"/>
      <c r="O23" s="2"/>
      <c r="P23" s="2"/>
      <c r="Q23" s="2"/>
      <c r="R23" s="70" t="s">
        <v>62</v>
      </c>
      <c r="S23" s="2"/>
      <c r="T23" s="2"/>
      <c r="U23" s="2"/>
      <c r="V23" s="2"/>
      <c r="W23" s="2"/>
      <c r="X23" s="2"/>
      <c r="Y23" s="2"/>
      <c r="Z23" s="68">
        <v>19</v>
      </c>
      <c r="AA23" s="69">
        <v>0.26</v>
      </c>
      <c r="AB23" s="69">
        <v>0.17</v>
      </c>
      <c r="AC23" s="69">
        <v>0.09</v>
      </c>
      <c r="AD23" s="69">
        <v>0</v>
      </c>
      <c r="AE23" s="2"/>
      <c r="AF23" s="2"/>
    </row>
    <row r="24" spans="1:32" x14ac:dyDescent="0.25">
      <c r="A24" s="2"/>
      <c r="B24" s="12"/>
      <c r="C24" s="11"/>
      <c r="D24" s="8"/>
      <c r="E24" s="11"/>
      <c r="F24" s="2"/>
      <c r="G24" s="11"/>
      <c r="H24" s="12"/>
      <c r="I24" s="11"/>
      <c r="J24" s="12"/>
      <c r="K24" s="2"/>
      <c r="L24" s="2"/>
      <c r="M24" s="2"/>
      <c r="N24" s="2"/>
      <c r="O24" s="2"/>
      <c r="P24" s="2"/>
      <c r="Q24" s="2"/>
      <c r="R24" s="71" t="str">
        <f>'CBTL ICR'!I22</f>
        <v>Capital Repayment</v>
      </c>
      <c r="S24" s="9"/>
      <c r="T24" s="2"/>
      <c r="U24" s="2"/>
      <c r="V24" s="2"/>
      <c r="W24" s="2"/>
      <c r="X24" s="2"/>
      <c r="Y24" s="2"/>
      <c r="Z24" s="68">
        <v>20</v>
      </c>
      <c r="AA24" s="69">
        <v>0.27</v>
      </c>
      <c r="AB24" s="69">
        <v>0.18</v>
      </c>
      <c r="AC24" s="69">
        <v>0.09</v>
      </c>
      <c r="AD24" s="69">
        <v>0</v>
      </c>
      <c r="AE24" s="2"/>
      <c r="AF24" s="2"/>
    </row>
    <row r="25" spans="1:3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57" t="s">
        <v>46</v>
      </c>
      <c r="S25" s="58">
        <f>'CBTL ICR'!I26</f>
        <v>500</v>
      </c>
      <c r="T25" s="2"/>
      <c r="U25" s="2"/>
      <c r="V25" s="2"/>
      <c r="W25" s="2"/>
      <c r="X25" s="2"/>
      <c r="Y25" s="2"/>
      <c r="Z25" s="68">
        <v>21</v>
      </c>
      <c r="AA25" s="69">
        <v>0.28000000000000003</v>
      </c>
      <c r="AB25" s="69">
        <v>0.19</v>
      </c>
      <c r="AC25" s="69">
        <v>0.09</v>
      </c>
      <c r="AD25" s="69">
        <v>0</v>
      </c>
      <c r="AE25" s="2"/>
      <c r="AF25" s="2"/>
    </row>
    <row r="26" spans="1:32" x14ac:dyDescent="0.25">
      <c r="A26" s="2"/>
      <c r="B26" s="55">
        <v>8.2400000000000001E-2</v>
      </c>
      <c r="C26" s="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57" t="s">
        <v>64</v>
      </c>
      <c r="S26" s="58">
        <f>(('CBTL ICR'!T26*(P4/100/12))+'CBTL ICR'!I26)</f>
        <v>583.33333333333337</v>
      </c>
      <c r="T26" s="2"/>
      <c r="U26" s="2"/>
      <c r="V26" s="2"/>
      <c r="W26" s="2"/>
      <c r="X26" s="2"/>
      <c r="Y26" s="2"/>
      <c r="Z26" s="68">
        <v>22</v>
      </c>
      <c r="AA26" s="69">
        <v>0.28999999999999998</v>
      </c>
      <c r="AB26" s="69">
        <v>0.19</v>
      </c>
      <c r="AC26" s="69">
        <v>0.1</v>
      </c>
      <c r="AD26" s="69">
        <v>0</v>
      </c>
      <c r="AE26" s="2"/>
      <c r="AF26" s="2"/>
    </row>
    <row r="27" spans="1:3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57" t="s">
        <v>65</v>
      </c>
      <c r="S27" s="58">
        <f ca="1">S25*(1+VLOOKUP(ROUNDDOWN((('CBTL ICR'!I24+('CBTL ICR'!T24*(365.25/12)))-TODAY())/(365.25),0),Z4:AD44,4,FALSE))</f>
        <v>510</v>
      </c>
      <c r="T27" s="2"/>
      <c r="U27" s="2"/>
      <c r="V27" s="2"/>
      <c r="W27" s="2"/>
      <c r="X27" s="2"/>
      <c r="Y27" s="2"/>
      <c r="Z27" s="68">
        <v>23</v>
      </c>
      <c r="AA27" s="69">
        <v>0.3</v>
      </c>
      <c r="AB27" s="69">
        <v>0.2</v>
      </c>
      <c r="AC27" s="69">
        <v>0.1</v>
      </c>
      <c r="AD27" s="69">
        <v>0</v>
      </c>
      <c r="AE27" s="2"/>
      <c r="AF27" s="2"/>
    </row>
    <row r="28" spans="1:3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57" t="s">
        <v>48</v>
      </c>
      <c r="S28" s="58">
        <f ca="1">MAX(IF(R24="Capital Repayment",S27,S26),S25)</f>
        <v>510</v>
      </c>
      <c r="T28" s="2"/>
      <c r="U28" s="2"/>
      <c r="V28" s="2"/>
      <c r="W28" s="2"/>
      <c r="X28" s="2"/>
      <c r="Y28" s="2"/>
      <c r="Z28" s="68">
        <v>24</v>
      </c>
      <c r="AA28" s="69">
        <v>0.31</v>
      </c>
      <c r="AB28" s="69">
        <v>0.21</v>
      </c>
      <c r="AC28" s="69">
        <v>0.1</v>
      </c>
      <c r="AD28" s="69">
        <v>0</v>
      </c>
      <c r="AE28" s="2"/>
      <c r="AF28" s="2"/>
    </row>
    <row r="29" spans="1:32" x14ac:dyDescent="0.25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68">
        <v>25</v>
      </c>
      <c r="AA29" s="69">
        <v>0.32</v>
      </c>
      <c r="AB29" s="69">
        <v>0.21</v>
      </c>
      <c r="AC29" s="69">
        <v>0.11</v>
      </c>
      <c r="AD29" s="69">
        <v>0</v>
      </c>
      <c r="AE29" s="2"/>
      <c r="AF29" s="2"/>
    </row>
    <row r="30" spans="1:32" x14ac:dyDescent="0.25">
      <c r="A30" s="2"/>
      <c r="B30" s="9"/>
      <c r="C30" s="9"/>
      <c r="D30" s="9"/>
      <c r="E30" s="9"/>
      <c r="F30" s="9"/>
      <c r="G30" s="9"/>
      <c r="H30" s="9"/>
      <c r="I30" s="9"/>
      <c r="J30" s="9"/>
      <c r="K30" s="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68">
        <v>26</v>
      </c>
      <c r="AA30" s="69">
        <v>0.33</v>
      </c>
      <c r="AB30" s="69">
        <v>0.22</v>
      </c>
      <c r="AC30" s="69">
        <v>0.11</v>
      </c>
      <c r="AD30" s="69">
        <v>0</v>
      </c>
      <c r="AE30" s="2"/>
      <c r="AF30" s="2"/>
    </row>
    <row r="31" spans="1:32" x14ac:dyDescent="0.25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2"/>
      <c r="M31" s="2"/>
      <c r="N31" s="2"/>
      <c r="O31" s="2"/>
      <c r="P31" s="2"/>
      <c r="Q31" s="2"/>
      <c r="R31" s="2"/>
      <c r="T31" s="2"/>
      <c r="U31" s="2"/>
      <c r="V31" s="2"/>
      <c r="W31" s="2"/>
      <c r="X31" s="2"/>
      <c r="Y31" s="2"/>
      <c r="Z31" s="68">
        <v>27</v>
      </c>
      <c r="AA31" s="69">
        <v>0.34</v>
      </c>
      <c r="AB31" s="69">
        <v>0.23</v>
      </c>
      <c r="AC31" s="69">
        <v>0.11</v>
      </c>
      <c r="AD31" s="69">
        <v>0</v>
      </c>
      <c r="AE31" s="2"/>
      <c r="AF31" s="2"/>
    </row>
    <row r="32" spans="1:32" x14ac:dyDescent="0.25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2"/>
      <c r="M32" s="2"/>
      <c r="N32" s="2"/>
      <c r="O32" s="2"/>
      <c r="P32" s="2"/>
      <c r="Q32" s="2"/>
      <c r="R32" s="2"/>
      <c r="S32" s="9"/>
      <c r="T32" s="2"/>
      <c r="U32" s="2"/>
      <c r="V32" s="2"/>
      <c r="W32" s="2"/>
      <c r="X32" s="2"/>
      <c r="Y32" s="2"/>
      <c r="Z32" s="68">
        <v>28</v>
      </c>
      <c r="AA32" s="69">
        <v>0.35</v>
      </c>
      <c r="AB32" s="69">
        <v>0.23</v>
      </c>
      <c r="AC32" s="69">
        <v>0.12</v>
      </c>
      <c r="AD32" s="69">
        <v>0</v>
      </c>
      <c r="AE32" s="2"/>
      <c r="AF32" s="2"/>
    </row>
    <row r="33" spans="1:32" x14ac:dyDescent="0.25">
      <c r="A33" s="2"/>
      <c r="B33" s="9"/>
      <c r="C33" s="9"/>
      <c r="D33" s="9"/>
      <c r="E33" s="9"/>
      <c r="F33" s="9"/>
      <c r="G33" s="9"/>
      <c r="H33" s="9"/>
      <c r="I33" s="9"/>
      <c r="J33" s="9"/>
      <c r="K33" s="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68">
        <v>29</v>
      </c>
      <c r="AA33" s="69">
        <v>0.36</v>
      </c>
      <c r="AB33" s="69">
        <v>0.24</v>
      </c>
      <c r="AC33" s="69">
        <v>0.12</v>
      </c>
      <c r="AD33" s="69">
        <v>0</v>
      </c>
      <c r="AE33" s="2"/>
      <c r="AF33" s="2"/>
    </row>
    <row r="34" spans="1:32" x14ac:dyDescent="0.25">
      <c r="A34" s="2"/>
      <c r="B34" s="9"/>
      <c r="C34" s="9"/>
      <c r="D34" s="9"/>
      <c r="E34" s="9"/>
      <c r="F34" s="9"/>
      <c r="G34" s="9"/>
      <c r="H34" s="9"/>
      <c r="I34" s="9"/>
      <c r="J34" s="9"/>
      <c r="K34" s="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68">
        <v>30</v>
      </c>
      <c r="AA34" s="69">
        <v>0.37</v>
      </c>
      <c r="AB34" s="69">
        <v>0.25</v>
      </c>
      <c r="AC34" s="69">
        <v>0.12</v>
      </c>
      <c r="AD34" s="69">
        <v>0</v>
      </c>
      <c r="AE34" s="2"/>
      <c r="AF34" s="2"/>
    </row>
    <row r="35" spans="1:32" x14ac:dyDescent="0.25">
      <c r="A35" s="2"/>
      <c r="B35" s="9"/>
      <c r="C35" s="9"/>
      <c r="D35" s="9"/>
      <c r="E35" s="9"/>
      <c r="F35" s="9"/>
      <c r="G35" s="9"/>
      <c r="H35" s="9"/>
      <c r="I35" s="9"/>
      <c r="J35" s="9"/>
      <c r="K35" s="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68">
        <v>31</v>
      </c>
      <c r="AA35" s="69">
        <v>0.38</v>
      </c>
      <c r="AB35" s="69">
        <v>0.25</v>
      </c>
      <c r="AC35" s="69">
        <v>0.13</v>
      </c>
      <c r="AD35" s="69">
        <v>0</v>
      </c>
      <c r="AE35" s="2"/>
      <c r="AF35" s="2"/>
    </row>
    <row r="36" spans="1:32" x14ac:dyDescent="0.25">
      <c r="A36" s="2"/>
      <c r="B36" s="9"/>
      <c r="C36" s="9"/>
      <c r="D36" s="9"/>
      <c r="E36" s="9"/>
      <c r="F36" s="9"/>
      <c r="G36" s="9"/>
      <c r="H36" s="9"/>
      <c r="I36" s="9"/>
      <c r="J36" s="9"/>
      <c r="K36" s="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68">
        <v>32</v>
      </c>
      <c r="AA36" s="69">
        <v>0.39</v>
      </c>
      <c r="AB36" s="69">
        <v>0.26</v>
      </c>
      <c r="AC36" s="69">
        <v>0.13</v>
      </c>
      <c r="AD36" s="69">
        <v>0</v>
      </c>
      <c r="AE36" s="2"/>
      <c r="AF36" s="2"/>
    </row>
    <row r="37" spans="1:32" x14ac:dyDescent="0.25">
      <c r="A37" s="2"/>
      <c r="B37" s="9"/>
      <c r="C37" s="9"/>
      <c r="D37" s="9"/>
      <c r="E37" s="9"/>
      <c r="F37" s="9"/>
      <c r="G37" s="9"/>
      <c r="H37" s="9"/>
      <c r="I37" s="9"/>
      <c r="J37" s="9"/>
      <c r="K37" s="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68">
        <v>33</v>
      </c>
      <c r="AA37" s="69">
        <v>0.4</v>
      </c>
      <c r="AB37" s="69">
        <v>0.27</v>
      </c>
      <c r="AC37" s="69">
        <v>0.13</v>
      </c>
      <c r="AD37" s="69">
        <v>0</v>
      </c>
      <c r="AE37" s="2"/>
      <c r="AF37" s="2"/>
    </row>
    <row r="38" spans="1:32" x14ac:dyDescent="0.25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68">
        <v>34</v>
      </c>
      <c r="AA38" s="69">
        <v>0.41</v>
      </c>
      <c r="AB38" s="69">
        <v>0.27</v>
      </c>
      <c r="AC38" s="69">
        <v>0.14000000000000001</v>
      </c>
      <c r="AD38" s="69">
        <v>0</v>
      </c>
      <c r="AE38" s="2"/>
      <c r="AF38" s="2"/>
    </row>
    <row r="39" spans="1:32" x14ac:dyDescent="0.25">
      <c r="A39" s="2"/>
      <c r="B39" s="9"/>
      <c r="C39" s="9"/>
      <c r="D39" s="9"/>
      <c r="E39" s="9"/>
      <c r="F39" s="9"/>
      <c r="G39" s="9"/>
      <c r="H39" s="9"/>
      <c r="I39" s="9"/>
      <c r="J39" s="9"/>
      <c r="K39" s="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68">
        <v>35</v>
      </c>
      <c r="AA39" s="69">
        <v>0.42</v>
      </c>
      <c r="AB39" s="69">
        <v>0.28000000000000003</v>
      </c>
      <c r="AC39" s="69">
        <v>0.14000000000000001</v>
      </c>
      <c r="AD39" s="69">
        <v>0</v>
      </c>
      <c r="AE39" s="2"/>
      <c r="AF39" s="2"/>
    </row>
    <row r="40" spans="1:32" x14ac:dyDescent="0.25">
      <c r="A40" s="2"/>
      <c r="B40" s="9"/>
      <c r="C40" s="9"/>
      <c r="D40" s="9"/>
      <c r="E40" s="9"/>
      <c r="F40" s="9"/>
      <c r="G40" s="9"/>
      <c r="H40" s="9"/>
      <c r="I40" s="9"/>
      <c r="J40" s="9"/>
      <c r="K40" s="9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68">
        <v>36</v>
      </c>
      <c r="AA40" s="69">
        <v>0.43</v>
      </c>
      <c r="AB40" s="69">
        <v>0.28999999999999998</v>
      </c>
      <c r="AC40" s="69">
        <v>0.14000000000000001</v>
      </c>
      <c r="AD40" s="69">
        <v>0</v>
      </c>
      <c r="AE40" s="2"/>
      <c r="AF40" s="2"/>
    </row>
    <row r="41" spans="1:32" x14ac:dyDescent="0.25">
      <c r="A41" s="2"/>
      <c r="B41" s="9"/>
      <c r="C41" s="9"/>
      <c r="D41" s="9"/>
      <c r="E41" s="9"/>
      <c r="F41" s="9"/>
      <c r="G41" s="9"/>
      <c r="H41" s="9"/>
      <c r="I41" s="9"/>
      <c r="J41" s="9"/>
      <c r="K41" s="9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68">
        <v>37</v>
      </c>
      <c r="AA41" s="69">
        <v>0.44</v>
      </c>
      <c r="AB41" s="69">
        <v>0.28999999999999998</v>
      </c>
      <c r="AC41" s="69">
        <v>0.15</v>
      </c>
      <c r="AD41" s="69">
        <v>0</v>
      </c>
      <c r="AE41" s="2"/>
      <c r="AF41" s="2"/>
    </row>
    <row r="42" spans="1:32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68">
        <v>38</v>
      </c>
      <c r="AA42" s="69">
        <v>0.45</v>
      </c>
      <c r="AB42" s="69">
        <v>0.3</v>
      </c>
      <c r="AC42" s="69">
        <v>0.15</v>
      </c>
      <c r="AD42" s="69">
        <v>0</v>
      </c>
      <c r="AE42" s="2"/>
      <c r="AF42" s="2"/>
    </row>
    <row r="43" spans="1:32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68">
        <v>39</v>
      </c>
      <c r="AA43" s="69">
        <v>0.46</v>
      </c>
      <c r="AB43" s="69">
        <v>0.31</v>
      </c>
      <c r="AC43" s="69">
        <v>0.15</v>
      </c>
      <c r="AD43" s="69">
        <v>0</v>
      </c>
      <c r="AE43" s="2"/>
      <c r="AF43" s="2"/>
    </row>
    <row r="44" spans="1:32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68">
        <v>40</v>
      </c>
      <c r="AA44" s="69">
        <v>0.47</v>
      </c>
      <c r="AB44" s="69">
        <v>0.31</v>
      </c>
      <c r="AC44" s="69">
        <v>0.16</v>
      </c>
      <c r="AD44" s="69">
        <v>0</v>
      </c>
      <c r="AE44" s="2"/>
      <c r="AF44" s="2"/>
    </row>
    <row r="45" spans="1:32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:32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2"/>
      <c r="M49" s="2"/>
      <c r="N49" s="2"/>
      <c r="O49" s="2"/>
      <c r="P49" s="2"/>
      <c r="Q49" s="2"/>
      <c r="R49" s="2"/>
      <c r="S49" s="2"/>
      <c r="AF49" s="2"/>
    </row>
    <row r="50" spans="2:32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2"/>
      <c r="M50" s="2"/>
      <c r="N50" s="2"/>
      <c r="O50" s="2"/>
      <c r="P50" s="2"/>
      <c r="Q50" s="2"/>
      <c r="R50" s="2"/>
      <c r="S50" s="2"/>
      <c r="AF50" s="2"/>
    </row>
  </sheetData>
  <mergeCells count="15">
    <mergeCell ref="V3:W3"/>
    <mergeCell ref="V4:W4"/>
    <mergeCell ref="U12:U14"/>
    <mergeCell ref="W12:W14"/>
    <mergeCell ref="V5:W5"/>
    <mergeCell ref="U7:U8"/>
    <mergeCell ref="V7:V8"/>
    <mergeCell ref="W7:W8"/>
    <mergeCell ref="U9:U11"/>
    <mergeCell ref="W9:W11"/>
    <mergeCell ref="Z2:Z3"/>
    <mergeCell ref="AA2:AA3"/>
    <mergeCell ref="AB2:AB3"/>
    <mergeCell ref="AC2:AC3"/>
    <mergeCell ref="AD2:A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CBTL ICR</vt:lpstr>
      <vt:lpstr>Lookup_CBTL</vt:lpstr>
    </vt:vector>
  </TitlesOfParts>
  <Company>Blemain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Mossford</dc:creator>
  <cp:lastModifiedBy>Paul Cookson</cp:lastModifiedBy>
  <cp:lastPrinted>2017-10-19T15:08:02Z</cp:lastPrinted>
  <dcterms:created xsi:type="dcterms:W3CDTF">2013-09-23T13:03:11Z</dcterms:created>
  <dcterms:modified xsi:type="dcterms:W3CDTF">2025-03-03T14:03:24Z</dcterms:modified>
</cp:coreProperties>
</file>