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Relationship Team\Credit + Portfolio Risk\Amani Ahmed\Affordability\Commercial Term Calc\BROKER\"/>
    </mc:Choice>
  </mc:AlternateContent>
  <workbookProtection workbookAlgorithmName="SHA-512" workbookHashValue="2oTl4pYeNy8ZwUNrRuMHCLQUZ4FmNqN/1CI6rMmKwKtfej0SH8q8OUHEhvGSVlYBrEN6A74y/YhsCC8TWa4Nyw==" workbookSaltValue="yoWSPzrOpu+yzRE7ZboXtw==" workbookSpinCount="100000" lockStructure="1"/>
  <bookViews>
    <workbookView xWindow="0" yWindow="0" windowWidth="13935" windowHeight="3405" firstSheet="1" activeTab="8"/>
  </bookViews>
  <sheets>
    <sheet name="IR_Stress" sheetId="21" state="hidden" r:id="rId1"/>
    <sheet name="Serviced Bridge ICR" sheetId="31" r:id="rId2"/>
    <sheet name="Serviced Bridge TSDI" sheetId="32" r:id="rId3"/>
    <sheet name="Lookup Commercial Term" sheetId="20" state="hidden" r:id="rId4"/>
    <sheet name="Commercial Term ICR" sheetId="11" r:id="rId5"/>
    <sheet name="Commercial Term TSDI" sheetId="19" r:id="rId6"/>
    <sheet name="BTL ICR" sheetId="25" r:id="rId7"/>
    <sheet name="Holiday Let ICR" sheetId="29" r:id="rId8"/>
    <sheet name="Holiday Let TSDI" sheetId="27" r:id="rId9"/>
    <sheet name="Holiday Let lookup" sheetId="30" state="hidden" r:id="rId10"/>
    <sheet name="Lookup BTL" sheetId="26" state="hidden" r:id="rId11"/>
    <sheet name="Ground Rent - Service Charge" sheetId="24" state="hidden" r:id="rId12"/>
  </sheets>
  <externalReferences>
    <externalReference r:id="rId13"/>
  </externalReferences>
  <definedNames>
    <definedName name="Bonus" localSheetId="11">#REF!</definedName>
    <definedName name="Bonus" localSheetId="7">#REF!</definedName>
    <definedName name="Bonus" localSheetId="9">#REF!</definedName>
    <definedName name="Bonus" localSheetId="8">#REF!</definedName>
    <definedName name="Bonus" localSheetId="1">#REF!</definedName>
    <definedName name="Bonus" localSheetId="2">#REF!</definedName>
    <definedName name="Bonus">#REF!</definedName>
    <definedName name="Buffer" localSheetId="11">#REF!</definedName>
    <definedName name="Buffer" localSheetId="9">#REF!</definedName>
    <definedName name="Buffer" localSheetId="8">#REF!</definedName>
    <definedName name="Buffer" localSheetId="1">#REF!</definedName>
    <definedName name="Buffer" localSheetId="2">#REF!</definedName>
    <definedName name="Buffer">#REF!</definedName>
    <definedName name="Buffer_KEY" localSheetId="11">#REF!</definedName>
    <definedName name="Buffer_KEY" localSheetId="9">#REF!</definedName>
    <definedName name="Buffer_KEY" localSheetId="8">#REF!</definedName>
    <definedName name="Buffer_KEY" localSheetId="1">#REF!</definedName>
    <definedName name="Buffer_KEY" localSheetId="2">#REF!</definedName>
    <definedName name="Buffer_KEY">#REF!</definedName>
    <definedName name="Cars" localSheetId="11">#REF!</definedName>
    <definedName name="Cars" localSheetId="1">#REF!</definedName>
    <definedName name="Cars" localSheetId="2">#REF!</definedName>
    <definedName name="Cars">#REF!</definedName>
    <definedName name="Cars_FULL" localSheetId="4">'Commercial Term ICR'!#REF!</definedName>
    <definedName name="Cars_FULL" localSheetId="11">#REF!</definedName>
    <definedName name="Cars_FULL" localSheetId="7">'Holiday Let ICR'!#REF!</definedName>
    <definedName name="Cars_FULL" localSheetId="9">#REF!</definedName>
    <definedName name="Cars_FULL" localSheetId="8">#REF!</definedName>
    <definedName name="Cars_FULL" localSheetId="1">'Serviced Bridge ICR'!#REF!</definedName>
    <definedName name="Cars_FULL" localSheetId="2">#REF!</definedName>
    <definedName name="Cars_FULL">#REF!</definedName>
    <definedName name="CCJ_Minimum" localSheetId="11">#REF!</definedName>
    <definedName name="CCJ_Minimum" localSheetId="7">#REF!</definedName>
    <definedName name="CCJ_Minimum" localSheetId="9">#REF!</definedName>
    <definedName name="CCJ_Minimum" localSheetId="8">#REF!</definedName>
    <definedName name="CCJ_Minimum" localSheetId="1">#REF!</definedName>
    <definedName name="CCJ_Minimum" localSheetId="2">#REF!</definedName>
    <definedName name="CCJ_Minimum">#REF!</definedName>
    <definedName name="Credit" localSheetId="11">#REF!</definedName>
    <definedName name="Credit" localSheetId="7">#REF!</definedName>
    <definedName name="Credit" localSheetId="9">#REF!</definedName>
    <definedName name="Credit" localSheetId="8">#REF!</definedName>
    <definedName name="Credit" localSheetId="1">#REF!</definedName>
    <definedName name="Credit" localSheetId="2">#REF!</definedName>
    <definedName name="Credit">#REF!</definedName>
    <definedName name="Def_Min_KEY" localSheetId="11">#REF!</definedName>
    <definedName name="Def_Min_KEY" localSheetId="1">#REF!</definedName>
    <definedName name="Def_Min_KEY" localSheetId="2">#REF!</definedName>
    <definedName name="Def_Min_KEY">#REF!</definedName>
    <definedName name="Def_Min_Key_FULL" localSheetId="11">#REF!</definedName>
    <definedName name="Def_Min_Key_FULL" localSheetId="1">#REF!</definedName>
    <definedName name="Def_Min_Key_FULL" localSheetId="2">#REF!</definedName>
    <definedName name="Def_Min_Key_FULL">#REF!</definedName>
    <definedName name="Def_Min_Key_FULL12" localSheetId="11">#REF!</definedName>
    <definedName name="Def_Min_Key_FULL12" localSheetId="1">#REF!</definedName>
    <definedName name="Def_Min_Key_FULL12" localSheetId="2">#REF!</definedName>
    <definedName name="Def_Min_Key_FULL12">#REF!</definedName>
    <definedName name="Def_Min_Key_Full1234" localSheetId="11">#REF!</definedName>
    <definedName name="Def_Min_Key_Full1234" localSheetId="1">#REF!</definedName>
    <definedName name="Def_Min_Key_Full1234" localSheetId="2">#REF!</definedName>
    <definedName name="Def_Min_Key_Full1234">#REF!</definedName>
    <definedName name="Default_Minimums" localSheetId="11">#REF!</definedName>
    <definedName name="Default_Minimums" localSheetId="1">#REF!</definedName>
    <definedName name="Default_Minimums" localSheetId="2">#REF!</definedName>
    <definedName name="Default_Minimums">#REF!</definedName>
    <definedName name="Household_Expenditure" localSheetId="11">#REF!</definedName>
    <definedName name="Household_Expenditure" localSheetId="1">#REF!</definedName>
    <definedName name="Household_Expenditure" localSheetId="2">#REF!</definedName>
    <definedName name="Household_Expenditure">#REF!</definedName>
    <definedName name="Income" localSheetId="11">#REF!</definedName>
    <definedName name="Income" localSheetId="1">#REF!</definedName>
    <definedName name="Income" localSheetId="2">#REF!</definedName>
    <definedName name="Income">#REF!</definedName>
    <definedName name="Minimum_Payment" localSheetId="11">#REF!</definedName>
    <definedName name="Minimum_Payment" localSheetId="1">#REF!</definedName>
    <definedName name="Minimum_Payment" localSheetId="2">#REF!</definedName>
    <definedName name="Minimum_Payment">#REF!</definedName>
    <definedName name="NEWICR" localSheetId="1">#REF!</definedName>
    <definedName name="NEWICR" localSheetId="2">#REF!</definedName>
    <definedName name="NEWICR">#REF!</definedName>
    <definedName name="OT_Commission" localSheetId="4">#REF!</definedName>
    <definedName name="OT_Commission" localSheetId="5">#REF!</definedName>
    <definedName name="OT_Commission" localSheetId="11">#REF!</definedName>
    <definedName name="OT_Commission" localSheetId="7">#REF!</definedName>
    <definedName name="OT_Commission" localSheetId="8">#REF!</definedName>
    <definedName name="OT_Commission" localSheetId="1">#REF!</definedName>
    <definedName name="OT_Commission" localSheetId="2">#REF!</definedName>
    <definedName name="OT_Commission">#REF!</definedName>
    <definedName name="_xlnm.Print_Area" localSheetId="4">'Commercial Term ICR'!$B$9:$Z$27</definedName>
    <definedName name="_xlnm.Print_Area" localSheetId="7">'Holiday Let ICR'!$B$7:$Z$25</definedName>
    <definedName name="_xlnm.Print_Area" localSheetId="1">'Serviced Bridge ICR'!$B$9:$Z$27</definedName>
    <definedName name="Stressed_Rate" localSheetId="11">#REF!</definedName>
    <definedName name="Stressed_Rate" localSheetId="7">#REF!</definedName>
    <definedName name="Stressed_Rate" localSheetId="9">#REF!</definedName>
    <definedName name="Stressed_Rate" localSheetId="8">#REF!</definedName>
    <definedName name="Stressed_Rate" localSheetId="1">#REF!</definedName>
    <definedName name="Stressed_Rate" localSheetId="2">#REF!</definedName>
    <definedName name="Stressed_Rate">#REF!</definedName>
    <definedName name="Third_Charge" localSheetId="11">#REF!</definedName>
    <definedName name="Third_Charge" localSheetId="7">#REF!</definedName>
    <definedName name="Third_Charge" localSheetId="9">#REF!</definedName>
    <definedName name="Third_Charge" localSheetId="8">#REF!</definedName>
    <definedName name="Third_Charge" localSheetId="1">#REF!</definedName>
    <definedName name="Third_Charge" localSheetId="2">#REF!</definedName>
    <definedName name="Third_Charge">#REF!</definedName>
  </definedNames>
  <calcPr calcId="162913"/>
</workbook>
</file>

<file path=xl/calcChain.xml><?xml version="1.0" encoding="utf-8"?>
<calcChain xmlns="http://schemas.openxmlformats.org/spreadsheetml/2006/main">
  <c r="D9" i="30" l="1"/>
  <c r="H45" i="27"/>
  <c r="H51" i="27" l="1"/>
  <c r="T16" i="31" l="1"/>
  <c r="E10" i="20" s="1"/>
  <c r="E9" i="20"/>
  <c r="K35" i="31" l="1"/>
  <c r="E11" i="20"/>
  <c r="C9" i="20"/>
  <c r="H53" i="19" l="1"/>
  <c r="H55" i="32" l="1"/>
  <c r="H53" i="32"/>
  <c r="H59" i="32" s="1"/>
  <c r="L44" i="32" l="1"/>
  <c r="H44" i="32"/>
  <c r="U22" i="32"/>
  <c r="T13" i="32"/>
  <c r="H57" i="32" s="1"/>
  <c r="K59" i="32" s="1"/>
  <c r="C36" i="31"/>
  <c r="U24" i="31"/>
  <c r="E39" i="29" l="1"/>
  <c r="V4" i="30" l="1"/>
  <c r="V3" i="30"/>
  <c r="P4" i="30" l="1"/>
  <c r="T14" i="27"/>
  <c r="T12" i="27"/>
  <c r="E63" i="30" l="1"/>
  <c r="C63" i="30"/>
  <c r="F63" i="30" s="1"/>
  <c r="C62" i="30"/>
  <c r="E62" i="30" s="1"/>
  <c r="E61" i="30"/>
  <c r="C61" i="30"/>
  <c r="F61" i="30" s="1"/>
  <c r="C60" i="30"/>
  <c r="F60" i="30" s="1"/>
  <c r="E59" i="30"/>
  <c r="C59" i="30"/>
  <c r="F59" i="30" s="1"/>
  <c r="C58" i="30"/>
  <c r="E58" i="30" s="1"/>
  <c r="E57" i="30"/>
  <c r="C57" i="30"/>
  <c r="F57" i="30" s="1"/>
  <c r="C56" i="30"/>
  <c r="F56" i="30" s="1"/>
  <c r="E55" i="30"/>
  <c r="C55" i="30"/>
  <c r="F55" i="30" s="1"/>
  <c r="C54" i="30"/>
  <c r="E54" i="30" s="1"/>
  <c r="E53" i="30"/>
  <c r="C53" i="30"/>
  <c r="F53" i="30" s="1"/>
  <c r="C52" i="30"/>
  <c r="F52" i="30" s="1"/>
  <c r="E51" i="30"/>
  <c r="C51" i="30"/>
  <c r="F51" i="30" s="1"/>
  <c r="C50" i="30"/>
  <c r="E50" i="30" s="1"/>
  <c r="E49" i="30"/>
  <c r="C49" i="30"/>
  <c r="F49" i="30" s="1"/>
  <c r="C48" i="30"/>
  <c r="F48" i="30" s="1"/>
  <c r="E47" i="30"/>
  <c r="C47" i="30"/>
  <c r="F47" i="30" s="1"/>
  <c r="C46" i="30"/>
  <c r="E46" i="30" s="1"/>
  <c r="E45" i="30"/>
  <c r="C45" i="30"/>
  <c r="F45" i="30" s="1"/>
  <c r="C44" i="30"/>
  <c r="F44" i="30" s="1"/>
  <c r="E43" i="30"/>
  <c r="C43" i="30"/>
  <c r="F43" i="30" s="1"/>
  <c r="C42" i="30"/>
  <c r="E42" i="30" s="1"/>
  <c r="E41" i="30"/>
  <c r="C41" i="30"/>
  <c r="F41" i="30" s="1"/>
  <c r="C40" i="30"/>
  <c r="F40" i="30" s="1"/>
  <c r="E39" i="30"/>
  <c r="C39" i="30"/>
  <c r="F39" i="30" s="1"/>
  <c r="C38" i="30"/>
  <c r="E38" i="30" s="1"/>
  <c r="E37" i="30"/>
  <c r="C37" i="30"/>
  <c r="F37" i="30" s="1"/>
  <c r="C36" i="30"/>
  <c r="F36" i="30" s="1"/>
  <c r="E35" i="30"/>
  <c r="C35" i="30"/>
  <c r="F35" i="30" s="1"/>
  <c r="C34" i="30"/>
  <c r="E34" i="30" s="1"/>
  <c r="E33" i="30"/>
  <c r="C33" i="30"/>
  <c r="F33" i="30" s="1"/>
  <c r="C32" i="30"/>
  <c r="F32" i="30" s="1"/>
  <c r="E31" i="30"/>
  <c r="C31" i="30"/>
  <c r="F31" i="30" s="1"/>
  <c r="C30" i="30"/>
  <c r="E30" i="30" s="1"/>
  <c r="E29" i="30"/>
  <c r="C29" i="30"/>
  <c r="F29" i="30" s="1"/>
  <c r="C28" i="30"/>
  <c r="F28" i="30" s="1"/>
  <c r="E27" i="30"/>
  <c r="C27" i="30"/>
  <c r="F27" i="30" s="1"/>
  <c r="C26" i="30"/>
  <c r="E26" i="30" s="1"/>
  <c r="E25" i="30"/>
  <c r="C25" i="30"/>
  <c r="F25" i="30" s="1"/>
  <c r="C24" i="30"/>
  <c r="F24" i="30" s="1"/>
  <c r="E23" i="30"/>
  <c r="C23" i="30"/>
  <c r="F23" i="30" s="1"/>
  <c r="U22" i="29"/>
  <c r="U19" i="27"/>
  <c r="E24" i="30" l="1"/>
  <c r="E28" i="30"/>
  <c r="E32" i="30"/>
  <c r="E36" i="30"/>
  <c r="E40" i="30"/>
  <c r="E44" i="30"/>
  <c r="E48" i="30"/>
  <c r="E52" i="30"/>
  <c r="E56" i="30"/>
  <c r="E60" i="30"/>
  <c r="F26" i="30"/>
  <c r="F30" i="30"/>
  <c r="F34" i="30"/>
  <c r="F38" i="30"/>
  <c r="F42" i="30"/>
  <c r="F46" i="30"/>
  <c r="F50" i="30"/>
  <c r="F54" i="30"/>
  <c r="F58" i="30"/>
  <c r="F62" i="30"/>
  <c r="T14" i="29" l="1"/>
  <c r="T16" i="29" s="1"/>
  <c r="C10" i="30" l="1"/>
  <c r="C11" i="30" s="1"/>
  <c r="H36" i="27"/>
  <c r="H49" i="27"/>
  <c r="E35" i="25" l="1"/>
  <c r="C9" i="26" l="1"/>
  <c r="T13" i="25"/>
  <c r="C10" i="26" s="1"/>
  <c r="T15" i="25" l="1"/>
  <c r="K30" i="25"/>
  <c r="M30" i="25" s="1"/>
  <c r="D10" i="26" l="1"/>
  <c r="D9" i="26"/>
  <c r="K35" i="25" l="1"/>
  <c r="M35" i="25" s="1"/>
  <c r="D11" i="26"/>
  <c r="M33" i="25"/>
  <c r="J33" i="25"/>
  <c r="F33" i="25"/>
  <c r="C11" i="26" l="1"/>
  <c r="D23" i="26"/>
  <c r="J23" i="26" l="1"/>
  <c r="E15" i="24"/>
  <c r="J11" i="24"/>
  <c r="T16" i="11" l="1"/>
  <c r="C10" i="20" s="1"/>
  <c r="U22" i="19" l="1"/>
  <c r="U24" i="11"/>
  <c r="H44" i="19" l="1"/>
  <c r="P12" i="20" l="1"/>
  <c r="V3" i="20"/>
  <c r="C63" i="20"/>
  <c r="F63" i="20" s="1"/>
  <c r="C62" i="20"/>
  <c r="F62" i="20" s="1"/>
  <c r="C61" i="20"/>
  <c r="F61" i="20" s="1"/>
  <c r="C60" i="20"/>
  <c r="F60" i="20" s="1"/>
  <c r="C59" i="20"/>
  <c r="F59" i="20" s="1"/>
  <c r="C58" i="20"/>
  <c r="F58" i="20" s="1"/>
  <c r="C57" i="20"/>
  <c r="F57" i="20" s="1"/>
  <c r="C56" i="20"/>
  <c r="F56" i="20" s="1"/>
  <c r="C55" i="20"/>
  <c r="F55" i="20" s="1"/>
  <c r="C54" i="20"/>
  <c r="F54" i="20" s="1"/>
  <c r="C53" i="20"/>
  <c r="F53" i="20" s="1"/>
  <c r="C52" i="20"/>
  <c r="F52" i="20" s="1"/>
  <c r="C51" i="20"/>
  <c r="F51" i="20" s="1"/>
  <c r="C50" i="20"/>
  <c r="F50" i="20" s="1"/>
  <c r="C49" i="20"/>
  <c r="F49" i="20" s="1"/>
  <c r="C48" i="20"/>
  <c r="F48" i="20" s="1"/>
  <c r="C47" i="20"/>
  <c r="F47" i="20" s="1"/>
  <c r="C46" i="20"/>
  <c r="F46" i="20" s="1"/>
  <c r="C45" i="20"/>
  <c r="F45" i="20" s="1"/>
  <c r="C44" i="20"/>
  <c r="F44" i="20" s="1"/>
  <c r="C43" i="20"/>
  <c r="F43" i="20" s="1"/>
  <c r="C42" i="20"/>
  <c r="F42" i="20" s="1"/>
  <c r="C41" i="20"/>
  <c r="F41" i="20" s="1"/>
  <c r="C40" i="20"/>
  <c r="F40" i="20" s="1"/>
  <c r="C39" i="20"/>
  <c r="F39" i="20" s="1"/>
  <c r="C38" i="20"/>
  <c r="F38" i="20" s="1"/>
  <c r="C37" i="20"/>
  <c r="F37" i="20" s="1"/>
  <c r="C36" i="20"/>
  <c r="F36" i="20" s="1"/>
  <c r="C35" i="20"/>
  <c r="F35" i="20" s="1"/>
  <c r="C34" i="20"/>
  <c r="F34" i="20" s="1"/>
  <c r="C33" i="20"/>
  <c r="F33" i="20" s="1"/>
  <c r="C32" i="20"/>
  <c r="F32" i="20" s="1"/>
  <c r="C31" i="20"/>
  <c r="F31" i="20" s="1"/>
  <c r="C30" i="20"/>
  <c r="F30" i="20" s="1"/>
  <c r="C29" i="20"/>
  <c r="F29" i="20" s="1"/>
  <c r="C28" i="20"/>
  <c r="F28" i="20" s="1"/>
  <c r="C27" i="20"/>
  <c r="F27" i="20" s="1"/>
  <c r="C26" i="20"/>
  <c r="F26" i="20" s="1"/>
  <c r="C25" i="20"/>
  <c r="F25" i="20" s="1"/>
  <c r="C24" i="20"/>
  <c r="F24" i="20" s="1"/>
  <c r="C23" i="20"/>
  <c r="F23" i="20" s="1"/>
  <c r="P4" i="20"/>
  <c r="T18" i="11" l="1"/>
  <c r="D10" i="20" s="1"/>
  <c r="L44" i="19"/>
  <c r="H55" i="19" s="1"/>
  <c r="E24" i="20"/>
  <c r="E28" i="20"/>
  <c r="E32" i="20"/>
  <c r="E36" i="20"/>
  <c r="E40" i="20"/>
  <c r="E44" i="20"/>
  <c r="E48" i="20"/>
  <c r="E52" i="20"/>
  <c r="E56" i="20"/>
  <c r="E60" i="20"/>
  <c r="E25" i="20"/>
  <c r="E29" i="20"/>
  <c r="E33" i="20"/>
  <c r="E37" i="20"/>
  <c r="E41" i="20"/>
  <c r="E45" i="20"/>
  <c r="E49" i="20"/>
  <c r="E53" i="20"/>
  <c r="E57" i="20"/>
  <c r="E61" i="20"/>
  <c r="E26" i="20"/>
  <c r="E30" i="20"/>
  <c r="E34" i="20"/>
  <c r="E38" i="20"/>
  <c r="E42" i="20"/>
  <c r="E46" i="20"/>
  <c r="E50" i="20"/>
  <c r="E54" i="20"/>
  <c r="E58" i="20"/>
  <c r="E62" i="20"/>
  <c r="E23" i="20"/>
  <c r="E27" i="20"/>
  <c r="E31" i="20"/>
  <c r="E35" i="20"/>
  <c r="E39" i="20"/>
  <c r="E43" i="20"/>
  <c r="E47" i="20"/>
  <c r="E51" i="20"/>
  <c r="E55" i="20"/>
  <c r="E59" i="20"/>
  <c r="E63" i="20"/>
  <c r="D9" i="20"/>
  <c r="M35" i="31"/>
  <c r="T13" i="19"/>
  <c r="T15" i="19" s="1"/>
  <c r="H57" i="19" s="1"/>
  <c r="C36" i="11"/>
  <c r="K35" i="11" l="1"/>
  <c r="M35" i="11" s="1"/>
  <c r="C11" i="20"/>
  <c r="D11" i="20"/>
  <c r="D10" i="30" l="1"/>
  <c r="K36" i="29" l="1"/>
  <c r="M36" i="29" s="1"/>
  <c r="D11" i="30"/>
  <c r="L36" i="27"/>
  <c r="H47" i="27" l="1"/>
  <c r="K51" i="27" s="1"/>
  <c r="H59" i="19"/>
  <c r="K59" i="19" s="1"/>
</calcChain>
</file>

<file path=xl/sharedStrings.xml><?xml version="1.0" encoding="utf-8"?>
<sst xmlns="http://schemas.openxmlformats.org/spreadsheetml/2006/main" count="461" uniqueCount="112">
  <si>
    <t>£</t>
  </si>
  <si>
    <t>Interest Rate</t>
  </si>
  <si>
    <t>Term</t>
  </si>
  <si>
    <t>Capital Repayment / Interest Only</t>
  </si>
  <si>
    <t>%</t>
  </si>
  <si>
    <t>months</t>
  </si>
  <si>
    <t>/month</t>
  </si>
  <si>
    <t>Please select</t>
  </si>
  <si>
    <t>Capital Repayment</t>
  </si>
  <si>
    <t>Interest Only</t>
  </si>
  <si>
    <t>Yes</t>
  </si>
  <si>
    <t>No</t>
  </si>
  <si>
    <t xml:space="preserve">     Proposed Loan Details (if known)</t>
  </si>
  <si>
    <t>Proposed Monthly Repayment</t>
  </si>
  <si>
    <t>Stressed Monthly Repayment</t>
  </si>
  <si>
    <t>Gross Loan Amount (including fees)</t>
  </si>
  <si>
    <t>Variable</t>
  </si>
  <si>
    <t>Monthly Rental Income</t>
  </si>
  <si>
    <t>Projected</t>
  </si>
  <si>
    <t>Actual</t>
  </si>
  <si>
    <t xml:space="preserve">     Rental Income</t>
  </si>
  <si>
    <t>ICR</t>
  </si>
  <si>
    <t xml:space="preserve">     Interest Coverage Ratio</t>
  </si>
  <si>
    <t>Rent:</t>
  </si>
  <si>
    <t>CMI:</t>
  </si>
  <si>
    <t>ACCEPT</t>
  </si>
  <si>
    <t xml:space="preserve"> </t>
  </si>
  <si>
    <t xml:space="preserve">     Prior Charge (if applicable)</t>
  </si>
  <si>
    <t>Incremental I/R stress</t>
  </si>
  <si>
    <t>stress</t>
  </si>
  <si>
    <t>Total Monthly Income</t>
  </si>
  <si>
    <t>Income net of secured debt?</t>
  </si>
  <si>
    <t>Total secured debt to income ratio</t>
  </si>
  <si>
    <t xml:space="preserve">     Monthly expenditure</t>
  </si>
  <si>
    <t xml:space="preserve">     Summary</t>
  </si>
  <si>
    <t>ICR threshold</t>
  </si>
  <si>
    <t>ICR Threshold</t>
  </si>
  <si>
    <t>Interest stress applied</t>
  </si>
  <si>
    <t>Interest rate stress</t>
  </si>
  <si>
    <t>Uplift %</t>
  </si>
  <si>
    <t>+3%</t>
  </si>
  <si>
    <t>+2%</t>
  </si>
  <si>
    <t>+1%</t>
  </si>
  <si>
    <t>Remaining Term</t>
  </si>
  <si>
    <t>Payment type</t>
  </si>
  <si>
    <t>Current Balance</t>
  </si>
  <si>
    <t>Monthly Payments</t>
  </si>
  <si>
    <t>Start Date (DD/MM/YYYY)</t>
  </si>
  <si>
    <t>TSDI</t>
  </si>
  <si>
    <t>Stress level</t>
  </si>
  <si>
    <t>Prior charge uplift column</t>
  </si>
  <si>
    <t>Existing charge</t>
  </si>
  <si>
    <t>Term remaining</t>
  </si>
  <si>
    <t>Stressed payment</t>
  </si>
  <si>
    <t>New monthly Loan Repayment</t>
  </si>
  <si>
    <t>Prior charge repayment (if applicable)</t>
  </si>
  <si>
    <t>Total Existing Secured Debt</t>
  </si>
  <si>
    <t>Monthly payment</t>
  </si>
  <si>
    <t>Prior Charge?</t>
  </si>
  <si>
    <t>Stressed Outcome</t>
  </si>
  <si>
    <t>INSUFFICIENT RENTAL INCOME - COMPLETE TSDI ASSESSMENT</t>
  </si>
  <si>
    <t>Fixed</t>
  </si>
  <si>
    <t>Holiday Let Income</t>
  </si>
  <si>
    <t>Based on projected affordability</t>
  </si>
  <si>
    <t>Monthly Ground Rent</t>
  </si>
  <si>
    <t>Monthly Service Charge</t>
  </si>
  <si>
    <t>Rental income net of Ground Rent and Service Charge</t>
  </si>
  <si>
    <t>Maximum Acceptable Ground Rent Value</t>
  </si>
  <si>
    <t>Valuation Amount</t>
  </si>
  <si>
    <t>Annual Ground rent value cannot exceed this figure</t>
  </si>
  <si>
    <t xml:space="preserve">Net Monthly Rental Amount </t>
  </si>
  <si>
    <t>*REFFERAL required if ground rent exceeds this figure</t>
  </si>
  <si>
    <t>Based on 2 years rental evidence</t>
  </si>
  <si>
    <t>Selection</t>
  </si>
  <si>
    <t>Outcome</t>
  </si>
  <si>
    <t xml:space="preserve">     Monthly Income</t>
  </si>
  <si>
    <t>Will use 80% of the holiday let income figure</t>
  </si>
  <si>
    <t>Will use 50% of the holiday let income figure</t>
  </si>
  <si>
    <t>Threshold</t>
  </si>
  <si>
    <t>Existing calculation</t>
  </si>
  <si>
    <t>2-yr Fixed</t>
  </si>
  <si>
    <t>5-yr Fixed</t>
  </si>
  <si>
    <t>BTL full affordability net rental income calculation</t>
  </si>
  <si>
    <t>Gross Rental Income</t>
  </si>
  <si>
    <t>Expenses</t>
  </si>
  <si>
    <t>Tax</t>
  </si>
  <si>
    <t>Rebate</t>
  </si>
  <si>
    <t xml:space="preserve">Net Rental Income </t>
  </si>
  <si>
    <t>-</t>
  </si>
  <si>
    <t>+</t>
  </si>
  <si>
    <t>=</t>
  </si>
  <si>
    <t>ICR Threshold/Tax Bracket</t>
  </si>
  <si>
    <t>Basic Rate Tax Payer</t>
  </si>
  <si>
    <t>High Rate Tax Payer</t>
  </si>
  <si>
    <t>Limited Company</t>
  </si>
  <si>
    <t xml:space="preserve">     Monthy Income</t>
  </si>
  <si>
    <t>First charge: Total monthly payments</t>
  </si>
  <si>
    <t>Monthly Repayment</t>
  </si>
  <si>
    <t>Affordability Outcome</t>
  </si>
  <si>
    <t>Monthly Loan Repayment</t>
  </si>
  <si>
    <t>Monthly rental income for the security</t>
  </si>
  <si>
    <t>Other net monthly income</t>
  </si>
  <si>
    <t>(to be evidenced in line with our packaging policy)</t>
  </si>
  <si>
    <t>Other existing monthly secured debt payments</t>
  </si>
  <si>
    <t xml:space="preserve">     Existing first charge against security (if remaining)</t>
  </si>
  <si>
    <t xml:space="preserve">     Monthly rental income for the security</t>
  </si>
  <si>
    <t>INSUFFICIENT RENTAL INCOME - Please speak with our support team on 0161 933 7101</t>
  </si>
  <si>
    <t>First Charge remaining?</t>
  </si>
  <si>
    <t>Monthly holiday let income for the security</t>
  </si>
  <si>
    <t>(To be evidenced in line with our packaging policy)</t>
  </si>
  <si>
    <t>First charge repayment remaining</t>
  </si>
  <si>
    <t>serviced bridge 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</si>
</sst>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£&quot;#,##0.00;[Red]\-&quot;£&quot;#,##0.00"/>
    <numFmt numFmtId="43" formatCode="_-* #,##0.00_-;\-* #,##0.00_-;_-* &quot;-&quot;??_-;_-@_-"/>
    <numFmt numFmtId="164" formatCode="General_)"/>
    <numFmt numFmtId="165" formatCode="0.0%"/>
    <numFmt numFmtId="166" formatCode="&quot;£&quot;#,##0"/>
    <numFmt numFmtId="167" formatCode="&quot;£&quot;#,##0.00"/>
    <numFmt numFmtId="168" formatCode="0.0"/>
    <numFmt numFmtId="169" formatCode="#,##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3F2C59"/>
        <bgColor indexed="64"/>
      </patternFill>
    </fill>
    <fill>
      <patternFill patternType="solid">
        <fgColor rgb="FFFCD889"/>
        <bgColor indexed="64"/>
      </patternFill>
    </fill>
    <fill>
      <patternFill patternType="solid">
        <fgColor rgb="FFC5B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5" fillId="2" borderId="0" applyNumberFormat="0" applyBorder="0" applyAlignment="0" applyProtection="0"/>
    <xf numFmtId="43" fontId="5" fillId="0" borderId="0" applyFont="0" applyFill="0" applyBorder="0" applyAlignment="0" applyProtection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9">
    <xf numFmtId="0" fontId="0" fillId="0" borderId="0" xfId="0"/>
    <xf numFmtId="0" fontId="0" fillId="3" borderId="1" xfId="0" applyFont="1" applyFill="1" applyBorder="1"/>
    <xf numFmtId="0" fontId="0" fillId="3" borderId="0" xfId="0" applyFont="1" applyFill="1" applyBorder="1"/>
    <xf numFmtId="0" fontId="0" fillId="3" borderId="2" xfId="0" applyFont="1" applyFill="1" applyBorder="1"/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vertical="center"/>
    </xf>
    <xf numFmtId="9" fontId="7" fillId="4" borderId="6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ont="1" applyFill="1"/>
    <xf numFmtId="167" fontId="8" fillId="4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/>
    <xf numFmtId="0" fontId="0" fillId="4" borderId="0" xfId="0" applyFont="1" applyFill="1" applyAlignment="1">
      <alignment horizontal="center"/>
    </xf>
    <xf numFmtId="9" fontId="5" fillId="4" borderId="0" xfId="10" applyFont="1" applyFill="1"/>
    <xf numFmtId="0" fontId="0" fillId="4" borderId="0" xfId="0" applyFont="1" applyFill="1" applyAlignment="1">
      <alignment vertical="center"/>
    </xf>
    <xf numFmtId="2" fontId="0" fillId="4" borderId="0" xfId="0" applyNumberFormat="1" applyFont="1" applyFill="1" applyAlignment="1">
      <alignment horizontal="center"/>
    </xf>
    <xf numFmtId="0" fontId="0" fillId="4" borderId="0" xfId="0" quotePrefix="1" applyFont="1" applyFill="1" applyAlignment="1">
      <alignment horizontal="center"/>
    </xf>
    <xf numFmtId="2" fontId="0" fillId="4" borderId="0" xfId="0" applyNumberFormat="1" applyFont="1" applyFill="1"/>
    <xf numFmtId="0" fontId="0" fillId="3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9" fontId="0" fillId="0" borderId="6" xfId="0" applyNumberFormat="1" applyBorder="1"/>
    <xf numFmtId="9" fontId="5" fillId="0" borderId="0" xfId="10" applyNumberFormat="1" applyFont="1"/>
    <xf numFmtId="168" fontId="0" fillId="4" borderId="0" xfId="0" applyNumberFormat="1" applyFont="1" applyFill="1" applyBorder="1" applyAlignment="1">
      <alignment horizontal="center"/>
    </xf>
    <xf numFmtId="9" fontId="0" fillId="4" borderId="0" xfId="10" applyFont="1" applyFill="1" applyAlignment="1">
      <alignment horizontal="center"/>
    </xf>
    <xf numFmtId="9" fontId="0" fillId="3" borderId="6" xfId="0" applyNumberFormat="1" applyFill="1" applyBorder="1" applyAlignment="1">
      <alignment horizontal="center"/>
    </xf>
    <xf numFmtId="0" fontId="0" fillId="4" borderId="0" xfId="0" applyNumberFormat="1" applyFont="1" applyFill="1" applyAlignment="1">
      <alignment horizontal="center" vertical="center"/>
    </xf>
    <xf numFmtId="165" fontId="5" fillId="4" borderId="0" xfId="10" applyNumberFormat="1" applyFont="1" applyFill="1" applyAlignment="1">
      <alignment horizontal="center" vertical="center"/>
    </xf>
    <xf numFmtId="166" fontId="0" fillId="4" borderId="0" xfId="0" applyNumberFormat="1" applyFont="1" applyFill="1" applyAlignment="1">
      <alignment horizontal="center"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9" fontId="5" fillId="0" borderId="0" xfId="10" applyFont="1" applyProtection="1">
      <protection locked="0"/>
    </xf>
    <xf numFmtId="0" fontId="0" fillId="8" borderId="0" xfId="0" applyFont="1" applyFill="1" applyBorder="1" applyProtection="1"/>
    <xf numFmtId="0" fontId="0" fillId="8" borderId="14" xfId="0" applyFont="1" applyFill="1" applyBorder="1" applyProtection="1"/>
    <xf numFmtId="0" fontId="0" fillId="8" borderId="15" xfId="0" applyFont="1" applyFill="1" applyBorder="1" applyProtection="1"/>
    <xf numFmtId="0" fontId="0" fillId="8" borderId="0" xfId="0" applyFont="1" applyFill="1" applyBorder="1" applyAlignment="1" applyProtection="1">
      <alignment horizontal="left" vertical="center"/>
    </xf>
    <xf numFmtId="0" fontId="0" fillId="8" borderId="0" xfId="0" applyFont="1" applyFill="1" applyBorder="1" applyAlignment="1" applyProtection="1">
      <alignment horizontal="center"/>
    </xf>
    <xf numFmtId="0" fontId="0" fillId="8" borderId="0" xfId="0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>
      <alignment horizontal="right" vertical="center"/>
    </xf>
    <xf numFmtId="0" fontId="0" fillId="8" borderId="0" xfId="0" applyFont="1" applyFill="1" applyBorder="1" applyAlignment="1" applyProtection="1">
      <alignment horizontal="left"/>
    </xf>
    <xf numFmtId="0" fontId="0" fillId="8" borderId="0" xfId="0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 applyProtection="1">
      <alignment horizontal="left" vertical="center"/>
    </xf>
    <xf numFmtId="0" fontId="10" fillId="8" borderId="0" xfId="0" applyFont="1" applyFill="1" applyBorder="1" applyAlignment="1" applyProtection="1">
      <alignment horizontal="left" vertical="center"/>
    </xf>
    <xf numFmtId="0" fontId="0" fillId="8" borderId="16" xfId="0" applyFont="1" applyFill="1" applyBorder="1" applyProtection="1"/>
    <xf numFmtId="0" fontId="0" fillId="8" borderId="17" xfId="0" applyFont="1" applyFill="1" applyBorder="1" applyProtection="1"/>
    <xf numFmtId="0" fontId="10" fillId="8" borderId="0" xfId="0" applyFont="1" applyFill="1" applyBorder="1" applyAlignment="1" applyProtection="1">
      <alignment vertical="center"/>
    </xf>
    <xf numFmtId="0" fontId="10" fillId="8" borderId="0" xfId="0" applyFont="1" applyFill="1" applyBorder="1" applyProtection="1"/>
    <xf numFmtId="0" fontId="0" fillId="8" borderId="0" xfId="0" quotePrefix="1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>
      <alignment vertical="center" wrapText="1"/>
    </xf>
    <xf numFmtId="0" fontId="0" fillId="8" borderId="18" xfId="0" applyFont="1" applyFill="1" applyBorder="1" applyProtection="1"/>
    <xf numFmtId="0" fontId="0" fillId="8" borderId="0" xfId="0" applyFont="1" applyFill="1" applyBorder="1" applyAlignment="1" applyProtection="1">
      <alignment horizontal="left" wrapText="1"/>
    </xf>
    <xf numFmtId="0" fontId="0" fillId="8" borderId="17" xfId="0" applyFont="1" applyFill="1" applyBorder="1" applyAlignment="1" applyProtection="1">
      <alignment vertical="center" wrapText="1"/>
    </xf>
    <xf numFmtId="0" fontId="0" fillId="8" borderId="0" xfId="0" applyFont="1" applyFill="1" applyBorder="1" applyAlignment="1" applyProtection="1">
      <alignment horizontal="right"/>
    </xf>
    <xf numFmtId="0" fontId="0" fillId="8" borderId="17" xfId="0" applyFont="1" applyFill="1" applyBorder="1" applyAlignment="1" applyProtection="1">
      <alignment vertical="center"/>
    </xf>
    <xf numFmtId="9" fontId="5" fillId="8" borderId="0" xfId="10" applyFont="1" applyFill="1" applyBorder="1" applyAlignment="1" applyProtection="1">
      <alignment vertical="center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/>
    <xf numFmtId="0" fontId="9" fillId="0" borderId="0" xfId="0" applyFont="1" applyProtection="1"/>
    <xf numFmtId="43" fontId="9" fillId="0" borderId="0" xfId="2" applyNumberFormat="1" applyFont="1" applyAlignment="1" applyProtection="1">
      <alignment vertical="center"/>
    </xf>
    <xf numFmtId="0" fontId="12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>
      <protection locked="0"/>
    </xf>
    <xf numFmtId="3" fontId="0" fillId="0" borderId="0" xfId="0" applyNumberFormat="1" applyFont="1" applyProtection="1">
      <protection locked="0"/>
    </xf>
    <xf numFmtId="0" fontId="0" fillId="8" borderId="14" xfId="0" applyFont="1" applyFill="1" applyBorder="1" applyAlignment="1" applyProtection="1">
      <alignment vertical="center"/>
    </xf>
    <xf numFmtId="0" fontId="0" fillId="8" borderId="15" xfId="0" applyFont="1" applyFill="1" applyBorder="1" applyAlignment="1" applyProtection="1">
      <alignment vertical="center"/>
    </xf>
    <xf numFmtId="0" fontId="0" fillId="8" borderId="17" xfId="0" applyFont="1" applyFill="1" applyBorder="1" applyAlignment="1" applyProtection="1">
      <alignment horizontal="center"/>
    </xf>
    <xf numFmtId="9" fontId="7" fillId="8" borderId="0" xfId="0" applyNumberFormat="1" applyFont="1" applyFill="1" applyBorder="1" applyAlignment="1" applyProtection="1">
      <alignment horizontal="center" vertical="center"/>
    </xf>
    <xf numFmtId="166" fontId="0" fillId="8" borderId="0" xfId="0" applyNumberFormat="1" applyFont="1" applyFill="1" applyBorder="1" applyAlignment="1" applyProtection="1">
      <alignment horizontal="left" vertical="center"/>
    </xf>
    <xf numFmtId="166" fontId="0" fillId="8" borderId="0" xfId="0" applyNumberFormat="1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/>
    <xf numFmtId="166" fontId="7" fillId="8" borderId="0" xfId="0" quotePrefix="1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65" fontId="11" fillId="0" borderId="0" xfId="0" applyNumberFormat="1" applyFont="1" applyAlignment="1" applyProtection="1">
      <alignment horizontal="center" vertical="center"/>
    </xf>
    <xf numFmtId="43" fontId="8" fillId="0" borderId="0" xfId="2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4" fontId="11" fillId="0" borderId="0" xfId="0" applyNumberFormat="1" applyFont="1" applyAlignment="1" applyProtection="1">
      <alignment vertical="center"/>
    </xf>
    <xf numFmtId="43" fontId="13" fillId="0" borderId="0" xfId="2" applyNumberFormat="1" applyFont="1" applyAlignment="1" applyProtection="1">
      <alignment vertical="center"/>
    </xf>
    <xf numFmtId="8" fontId="7" fillId="0" borderId="0" xfId="0" quotePrefix="1" applyNumberFormat="1" applyFont="1" applyAlignment="1" applyProtection="1">
      <alignment horizontal="center" vertical="center"/>
    </xf>
    <xf numFmtId="8" fontId="0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7" fillId="0" borderId="0" xfId="0" applyFont="1" applyProtection="1"/>
    <xf numFmtId="0" fontId="7" fillId="8" borderId="0" xfId="0" applyFont="1" applyFill="1" applyBorder="1" applyProtection="1"/>
    <xf numFmtId="165" fontId="7" fillId="7" borderId="10" xfId="0" applyNumberFormat="1" applyFont="1" applyFill="1" applyBorder="1" applyAlignment="1" applyProtection="1">
      <alignment horizontal="center" vertical="center"/>
    </xf>
    <xf numFmtId="0" fontId="14" fillId="8" borderId="0" xfId="0" applyFont="1" applyFill="1" applyBorder="1" applyProtection="1"/>
    <xf numFmtId="0" fontId="14" fillId="8" borderId="17" xfId="0" applyFont="1" applyFill="1" applyBorder="1" applyProtection="1"/>
    <xf numFmtId="0" fontId="15" fillId="4" borderId="0" xfId="0" applyFont="1" applyFill="1"/>
    <xf numFmtId="0" fontId="0" fillId="4" borderId="0" xfId="0" applyFont="1" applyFill="1" applyProtection="1"/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Protection="1">
      <protection locked="0"/>
    </xf>
    <xf numFmtId="0" fontId="8" fillId="4" borderId="0" xfId="0" applyFont="1" applyFill="1" applyAlignment="1" applyProtection="1">
      <alignment horizontal="right" vertical="center"/>
    </xf>
    <xf numFmtId="0" fontId="12" fillId="4" borderId="0" xfId="0" applyFont="1" applyFill="1" applyAlignment="1" applyProtection="1"/>
    <xf numFmtId="0" fontId="8" fillId="4" borderId="0" xfId="0" applyFont="1" applyFill="1" applyProtection="1"/>
    <xf numFmtId="0" fontId="7" fillId="4" borderId="0" xfId="0" applyFont="1" applyFill="1" applyAlignment="1" applyProtection="1">
      <alignment horizontal="center" vertical="center"/>
    </xf>
    <xf numFmtId="0" fontId="0" fillId="4" borderId="0" xfId="0" applyFont="1" applyFill="1" applyAlignment="1" applyProtection="1">
      <alignment horizontal="center"/>
      <protection locked="0"/>
    </xf>
    <xf numFmtId="0" fontId="16" fillId="4" borderId="0" xfId="0" applyFont="1" applyFill="1" applyProtection="1">
      <protection locked="0"/>
    </xf>
    <xf numFmtId="167" fontId="8" fillId="4" borderId="0" xfId="0" applyNumberFormat="1" applyFont="1" applyFill="1" applyAlignment="1" applyProtection="1">
      <alignment horizontal="left"/>
      <protection locked="0"/>
    </xf>
    <xf numFmtId="0" fontId="0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/>
    <xf numFmtId="0" fontId="9" fillId="4" borderId="0" xfId="0" applyFont="1" applyFill="1" applyProtection="1"/>
    <xf numFmtId="43" fontId="9" fillId="4" borderId="0" xfId="2" applyNumberFormat="1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9" fontId="5" fillId="4" borderId="0" xfId="10" applyFont="1" applyFill="1" applyProtection="1"/>
    <xf numFmtId="2" fontId="0" fillId="4" borderId="0" xfId="0" applyNumberFormat="1" applyFont="1" applyFill="1" applyProtection="1"/>
    <xf numFmtId="0" fontId="0" fillId="4" borderId="0" xfId="0" quotePrefix="1" applyFont="1" applyFill="1" applyAlignment="1" applyProtection="1">
      <alignment horizontal="center"/>
    </xf>
    <xf numFmtId="0" fontId="0" fillId="8" borderId="17" xfId="0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0" fillId="8" borderId="15" xfId="0" applyFill="1" applyBorder="1"/>
    <xf numFmtId="0" fontId="0" fillId="8" borderId="14" xfId="0" applyFill="1" applyBorder="1"/>
    <xf numFmtId="0" fontId="0" fillId="8" borderId="0" xfId="0" applyFill="1" applyBorder="1" applyAlignment="1">
      <alignment horizontal="right"/>
    </xf>
    <xf numFmtId="0" fontId="0" fillId="8" borderId="0" xfId="0" applyFill="1" applyBorder="1" applyAlignment="1"/>
    <xf numFmtId="167" fontId="7" fillId="8" borderId="6" xfId="0" applyNumberFormat="1" applyFont="1" applyFill="1" applyBorder="1" applyAlignment="1">
      <alignment horizontal="center"/>
    </xf>
    <xf numFmtId="0" fontId="0" fillId="8" borderId="17" xfId="0" applyFill="1" applyBorder="1"/>
    <xf numFmtId="0" fontId="0" fillId="8" borderId="17" xfId="0" applyFill="1" applyBorder="1" applyAlignment="1">
      <alignment horizontal="center"/>
    </xf>
    <xf numFmtId="0" fontId="0" fillId="8" borderId="18" xfId="0" applyFill="1" applyBorder="1"/>
    <xf numFmtId="0" fontId="0" fillId="8" borderId="16" xfId="0" applyFill="1" applyBorder="1"/>
    <xf numFmtId="0" fontId="0" fillId="0" borderId="0" xfId="0" applyFill="1" applyBorder="1" applyAlignment="1">
      <alignment horizontal="right"/>
    </xf>
    <xf numFmtId="2" fontId="0" fillId="0" borderId="0" xfId="0" applyNumberFormat="1"/>
    <xf numFmtId="0" fontId="0" fillId="8" borderId="17" xfId="0" applyFont="1" applyFill="1" applyBorder="1" applyAlignment="1" applyProtection="1">
      <alignment horizontal="left"/>
    </xf>
    <xf numFmtId="0" fontId="14" fillId="8" borderId="0" xfId="0" applyFont="1" applyFill="1" applyBorder="1"/>
    <xf numFmtId="167" fontId="0" fillId="4" borderId="6" xfId="0" applyNumberFormat="1" applyFill="1" applyBorder="1" applyAlignment="1" applyProtection="1">
      <alignment horizontal="center"/>
      <protection locked="0"/>
    </xf>
    <xf numFmtId="167" fontId="8" fillId="4" borderId="6" xfId="0" applyNumberFormat="1" applyFont="1" applyFill="1" applyBorder="1" applyAlignment="1" applyProtection="1">
      <alignment horizontal="center"/>
      <protection locked="0"/>
    </xf>
    <xf numFmtId="2" fontId="0" fillId="4" borderId="0" xfId="0" applyNumberFormat="1" applyFont="1" applyFill="1" applyBorder="1" applyProtection="1"/>
    <xf numFmtId="0" fontId="0" fillId="4" borderId="0" xfId="0" quotePrefix="1" applyFont="1" applyFill="1" applyBorder="1" applyAlignment="1" applyProtection="1">
      <alignment horizontal="center"/>
    </xf>
    <xf numFmtId="0" fontId="14" fillId="4" borderId="0" xfId="0" applyFont="1" applyFill="1" applyBorder="1" applyProtection="1"/>
    <xf numFmtId="0" fontId="0" fillId="4" borderId="0" xfId="0" applyFont="1" applyFill="1" applyBorder="1" applyProtection="1"/>
    <xf numFmtId="2" fontId="0" fillId="8" borderId="17" xfId="0" applyNumberFormat="1" applyFont="1" applyFill="1" applyBorder="1" applyAlignment="1" applyProtection="1">
      <alignment horizontal="center" vertical="center"/>
    </xf>
    <xf numFmtId="3" fontId="0" fillId="4" borderId="0" xfId="0" applyNumberFormat="1" applyFont="1" applyFill="1"/>
    <xf numFmtId="167" fontId="0" fillId="4" borderId="0" xfId="0" applyNumberFormat="1" applyFont="1" applyFill="1"/>
    <xf numFmtId="165" fontId="5" fillId="4" borderId="0" xfId="10" applyNumberFormat="1" applyFont="1" applyFill="1"/>
    <xf numFmtId="4" fontId="0" fillId="4" borderId="0" xfId="0" applyNumberFormat="1" applyFont="1" applyFill="1"/>
    <xf numFmtId="0" fontId="0" fillId="8" borderId="1" xfId="0" applyFont="1" applyFill="1" applyBorder="1"/>
    <xf numFmtId="0" fontId="0" fillId="8" borderId="0" xfId="0" applyFont="1" applyFill="1" applyBorder="1"/>
    <xf numFmtId="0" fontId="0" fillId="8" borderId="1" xfId="0" applyFont="1" applyFill="1" applyBorder="1" applyAlignment="1">
      <alignment vertical="center"/>
    </xf>
    <xf numFmtId="0" fontId="0" fillId="8" borderId="0" xfId="0" applyFont="1" applyFill="1" applyBorder="1" applyAlignment="1">
      <alignment horizontal="left" vertical="center"/>
    </xf>
    <xf numFmtId="0" fontId="0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0" fillId="8" borderId="3" xfId="0" applyFont="1" applyFill="1" applyBorder="1"/>
    <xf numFmtId="0" fontId="0" fillId="8" borderId="4" xfId="0" applyFont="1" applyFill="1" applyBorder="1"/>
    <xf numFmtId="0" fontId="0" fillId="8" borderId="0" xfId="0" applyFont="1" applyFill="1" applyBorder="1" applyAlignment="1">
      <alignment vertical="center"/>
    </xf>
    <xf numFmtId="0" fontId="0" fillId="8" borderId="0" xfId="0" applyFont="1" applyFill="1" applyAlignment="1">
      <alignment vertical="center"/>
    </xf>
    <xf numFmtId="0" fontId="0" fillId="8" borderId="0" xfId="0" applyFont="1" applyFill="1" applyBorder="1" applyAlignment="1">
      <alignment horizontal="right" vertical="center"/>
    </xf>
    <xf numFmtId="0" fontId="10" fillId="8" borderId="0" xfId="0" applyFont="1" applyFill="1" applyBorder="1" applyAlignment="1">
      <alignment vertical="center"/>
    </xf>
    <xf numFmtId="0" fontId="0" fillId="8" borderId="2" xfId="0" applyFont="1" applyFill="1" applyBorder="1"/>
    <xf numFmtId="0" fontId="0" fillId="8" borderId="2" xfId="0" applyFont="1" applyFill="1" applyBorder="1" applyAlignment="1">
      <alignment vertical="center"/>
    </xf>
    <xf numFmtId="0" fontId="0" fillId="8" borderId="0" xfId="0" quotePrefix="1" applyFont="1" applyFill="1" applyBorder="1" applyAlignment="1">
      <alignment vertical="center"/>
    </xf>
    <xf numFmtId="0" fontId="0" fillId="8" borderId="0" xfId="0" applyFont="1" applyFill="1" applyBorder="1" applyAlignment="1">
      <alignment vertical="center" wrapText="1"/>
    </xf>
    <xf numFmtId="0" fontId="0" fillId="8" borderId="5" xfId="0" applyFont="1" applyFill="1" applyBorder="1"/>
    <xf numFmtId="0" fontId="0" fillId="8" borderId="0" xfId="0" applyFont="1" applyFill="1" applyBorder="1" applyAlignment="1">
      <alignment horizontal="left"/>
    </xf>
    <xf numFmtId="3" fontId="5" fillId="8" borderId="0" xfId="2" applyNumberFormat="1" applyFont="1" applyFill="1" applyBorder="1" applyAlignment="1">
      <alignment horizontal="right" vertical="center"/>
    </xf>
    <xf numFmtId="0" fontId="0" fillId="8" borderId="4" xfId="0" applyFont="1" applyFill="1" applyBorder="1" applyAlignment="1">
      <alignment vertical="center" wrapText="1"/>
    </xf>
    <xf numFmtId="0" fontId="0" fillId="8" borderId="0" xfId="0" applyFont="1" applyFill="1" applyBorder="1" applyAlignment="1"/>
    <xf numFmtId="0" fontId="0" fillId="8" borderId="4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right" vertical="center"/>
    </xf>
    <xf numFmtId="9" fontId="7" fillId="8" borderId="6" xfId="0" applyNumberFormat="1" applyFont="1" applyFill="1" applyBorder="1" applyAlignment="1">
      <alignment horizontal="center" vertical="center"/>
    </xf>
    <xf numFmtId="9" fontId="7" fillId="8" borderId="0" xfId="0" applyNumberFormat="1" applyFont="1" applyFill="1" applyBorder="1" applyAlignment="1">
      <alignment horizontal="center" vertical="center"/>
    </xf>
    <xf numFmtId="166" fontId="0" fillId="8" borderId="0" xfId="0" applyNumberFormat="1" applyFont="1" applyFill="1" applyBorder="1" applyAlignment="1">
      <alignment horizontal="left" vertical="center"/>
    </xf>
    <xf numFmtId="166" fontId="0" fillId="8" borderId="0" xfId="0" applyNumberFormat="1" applyFont="1" applyFill="1" applyBorder="1" applyAlignment="1">
      <alignment vertical="center"/>
    </xf>
    <xf numFmtId="166" fontId="7" fillId="8" borderId="0" xfId="0" quotePrefix="1" applyNumberFormat="1" applyFont="1" applyFill="1" applyBorder="1" applyAlignment="1">
      <alignment horizontal="right" vertical="center"/>
    </xf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4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horizontal="left" vertical="center"/>
    </xf>
    <xf numFmtId="0" fontId="8" fillId="0" borderId="0" xfId="0" applyFont="1" applyAlignment="1" applyProtection="1">
      <alignment horizontal="right" vertical="center"/>
    </xf>
    <xf numFmtId="9" fontId="5" fillId="0" borderId="0" xfId="10" applyFont="1" applyProtection="1"/>
    <xf numFmtId="2" fontId="0" fillId="0" borderId="0" xfId="0" applyNumberFormat="1" applyFont="1" applyProtection="1"/>
    <xf numFmtId="0" fontId="0" fillId="0" borderId="0" xfId="0" quotePrefix="1" applyFont="1" applyAlignment="1" applyProtection="1">
      <alignment horizontal="center"/>
    </xf>
    <xf numFmtId="9" fontId="5" fillId="8" borderId="0" xfId="10" applyFont="1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vertical="center"/>
    </xf>
    <xf numFmtId="0" fontId="14" fillId="8" borderId="0" xfId="0" applyFont="1" applyFill="1" applyBorder="1" applyAlignment="1" applyProtection="1">
      <alignment vertical="top"/>
    </xf>
    <xf numFmtId="0" fontId="0" fillId="8" borderId="0" xfId="0" applyFont="1" applyFill="1" applyBorder="1" applyAlignment="1" applyProtection="1">
      <alignment vertical="top"/>
    </xf>
    <xf numFmtId="167" fontId="8" fillId="0" borderId="0" xfId="0" applyNumberFormat="1" applyFont="1" applyAlignment="1" applyProtection="1">
      <alignment horizontal="left"/>
    </xf>
    <xf numFmtId="0" fontId="0" fillId="8" borderId="0" xfId="0" applyFont="1" applyFill="1" applyBorder="1" applyAlignment="1" applyProtection="1">
      <alignment horizontal="left" wrapText="1"/>
    </xf>
    <xf numFmtId="0" fontId="0" fillId="0" borderId="0" xfId="0" applyFont="1" applyAlignment="1" applyProtection="1">
      <alignment horizontal="center"/>
    </xf>
    <xf numFmtId="9" fontId="7" fillId="4" borderId="6" xfId="10" applyFont="1" applyFill="1" applyBorder="1" applyAlignment="1" applyProtection="1">
      <alignment horizontal="center" vertical="center"/>
    </xf>
    <xf numFmtId="0" fontId="0" fillId="8" borderId="0" xfId="0" applyFont="1" applyFill="1" applyBorder="1" applyAlignment="1" applyProtection="1"/>
    <xf numFmtId="0" fontId="0" fillId="8" borderId="0" xfId="0" applyFont="1" applyFill="1" applyBorder="1" applyAlignment="1" applyProtection="1">
      <alignment horizontal="left" wrapText="1"/>
    </xf>
    <xf numFmtId="0" fontId="0" fillId="8" borderId="0" xfId="0" applyFont="1" applyFill="1" applyBorder="1" applyAlignment="1" applyProtection="1">
      <alignment horizontal="left"/>
    </xf>
    <xf numFmtId="0" fontId="0" fillId="8" borderId="0" xfId="0" applyFont="1" applyFill="1" applyBorder="1" applyAlignment="1" applyProtection="1">
      <alignment horizontal="left"/>
    </xf>
    <xf numFmtId="165" fontId="0" fillId="0" borderId="0" xfId="10" applyNumberFormat="1" applyFont="1" applyAlignment="1" applyProtection="1">
      <alignment vertical="center"/>
    </xf>
    <xf numFmtId="165" fontId="8" fillId="0" borderId="0" xfId="10" applyNumberFormat="1" applyFont="1" applyAlignment="1" applyProtection="1">
      <alignment vertical="center"/>
    </xf>
    <xf numFmtId="165" fontId="12" fillId="0" borderId="0" xfId="10" applyNumberFormat="1" applyFont="1" applyAlignment="1" applyProtection="1">
      <alignment horizontal="right" vertical="center"/>
    </xf>
    <xf numFmtId="0" fontId="14" fillId="8" borderId="0" xfId="0" applyFont="1" applyFill="1" applyBorder="1" applyAlignment="1" applyProtection="1">
      <alignment vertical="center"/>
    </xf>
    <xf numFmtId="0" fontId="18" fillId="8" borderId="0" xfId="0" applyFont="1" applyFill="1"/>
    <xf numFmtId="0" fontId="8" fillId="8" borderId="0" xfId="0" applyFont="1" applyFill="1"/>
    <xf numFmtId="9" fontId="0" fillId="4" borderId="0" xfId="10" applyFont="1" applyFill="1"/>
    <xf numFmtId="165" fontId="0" fillId="4" borderId="0" xfId="10" applyNumberFormat="1" applyFont="1" applyFill="1"/>
    <xf numFmtId="0" fontId="0" fillId="8" borderId="0" xfId="0" applyFont="1" applyFill="1" applyBorder="1" applyAlignment="1" applyProtection="1">
      <alignment horizontal="center"/>
    </xf>
    <xf numFmtId="0" fontId="0" fillId="8" borderId="0" xfId="0" applyFont="1" applyFill="1" applyBorder="1" applyAlignment="1" applyProtection="1">
      <alignment horizontal="left" wrapText="1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9" fontId="0" fillId="4" borderId="7" xfId="10" applyFont="1" applyFill="1" applyBorder="1" applyAlignment="1">
      <alignment horizontal="center" vertical="center"/>
    </xf>
    <xf numFmtId="9" fontId="0" fillId="0" borderId="9" xfId="10" applyFont="1" applyBorder="1" applyAlignment="1">
      <alignment horizontal="center" vertical="center"/>
    </xf>
    <xf numFmtId="0" fontId="6" fillId="6" borderId="11" xfId="0" applyFont="1" applyFill="1" applyBorder="1" applyAlignment="1" applyProtection="1">
      <alignment horizontal="left" vertical="center"/>
    </xf>
    <xf numFmtId="0" fontId="6" fillId="6" borderId="12" xfId="0" applyFont="1" applyFill="1" applyBorder="1" applyAlignment="1" applyProtection="1">
      <alignment horizontal="left" vertical="center"/>
    </xf>
    <xf numFmtId="0" fontId="6" fillId="6" borderId="13" xfId="0" applyFont="1" applyFill="1" applyBorder="1" applyAlignment="1" applyProtection="1">
      <alignment horizontal="left" vertical="center"/>
    </xf>
    <xf numFmtId="169" fontId="5" fillId="0" borderId="7" xfId="2" applyNumberFormat="1" applyFont="1" applyFill="1" applyBorder="1" applyAlignment="1" applyProtection="1">
      <alignment horizontal="center" vertical="center"/>
      <protection locked="0"/>
    </xf>
    <xf numFmtId="169" fontId="5" fillId="0" borderId="8" xfId="2" applyNumberFormat="1" applyFont="1" applyFill="1" applyBorder="1" applyAlignment="1" applyProtection="1">
      <alignment horizontal="center" vertical="center"/>
      <protection locked="0"/>
    </xf>
    <xf numFmtId="169" fontId="5" fillId="0" borderId="9" xfId="2" applyNumberFormat="1" applyFont="1" applyFill="1" applyBorder="1" applyAlignment="1" applyProtection="1">
      <alignment horizontal="center" vertical="center"/>
      <protection locked="0"/>
    </xf>
    <xf numFmtId="3" fontId="5" fillId="0" borderId="7" xfId="2" applyNumberFormat="1" applyFont="1" applyFill="1" applyBorder="1" applyAlignment="1" applyProtection="1">
      <alignment horizontal="center" vertical="center"/>
      <protection locked="0"/>
    </xf>
    <xf numFmtId="3" fontId="5" fillId="0" borderId="8" xfId="2" applyNumberFormat="1" applyFont="1" applyFill="1" applyBorder="1" applyAlignment="1" applyProtection="1">
      <alignment horizontal="center" vertical="center"/>
      <protection locked="0"/>
    </xf>
    <xf numFmtId="3" fontId="5" fillId="0" borderId="9" xfId="2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4" fontId="5" fillId="0" borderId="7" xfId="2" applyNumberFormat="1" applyFont="1" applyFill="1" applyBorder="1" applyAlignment="1" applyProtection="1">
      <alignment horizontal="center" vertical="center"/>
      <protection locked="0"/>
    </xf>
    <xf numFmtId="4" fontId="5" fillId="0" borderId="8" xfId="2" applyNumberFormat="1" applyFont="1" applyFill="1" applyBorder="1" applyAlignment="1" applyProtection="1">
      <alignment horizontal="center" vertical="center"/>
      <protection locked="0"/>
    </xf>
    <xf numFmtId="4" fontId="5" fillId="0" borderId="9" xfId="2" applyNumberFormat="1" applyFont="1" applyFill="1" applyBorder="1" applyAlignment="1" applyProtection="1">
      <alignment horizontal="center" vertical="center"/>
      <protection locked="0"/>
    </xf>
    <xf numFmtId="4" fontId="7" fillId="8" borderId="7" xfId="0" applyNumberFormat="1" applyFont="1" applyFill="1" applyBorder="1" applyAlignment="1" applyProtection="1">
      <alignment horizontal="center" vertical="center"/>
    </xf>
    <xf numFmtId="4" fontId="7" fillId="8" borderId="8" xfId="0" applyNumberFormat="1" applyFont="1" applyFill="1" applyBorder="1" applyAlignment="1" applyProtection="1">
      <alignment horizontal="center" vertical="center"/>
    </xf>
    <xf numFmtId="4" fontId="7" fillId="8" borderId="9" xfId="0" applyNumberFormat="1" applyFont="1" applyFill="1" applyBorder="1" applyAlignment="1" applyProtection="1">
      <alignment horizontal="center" vertical="center"/>
    </xf>
    <xf numFmtId="167" fontId="7" fillId="8" borderId="7" xfId="0" quotePrefix="1" applyNumberFormat="1" applyFont="1" applyFill="1" applyBorder="1" applyAlignment="1" applyProtection="1">
      <alignment horizontal="center" vertical="center"/>
    </xf>
    <xf numFmtId="167" fontId="7" fillId="8" borderId="9" xfId="0" quotePrefix="1" applyNumberFormat="1" applyFont="1" applyFill="1" applyBorder="1" applyAlignment="1" applyProtection="1">
      <alignment horizontal="center" vertical="center"/>
    </xf>
    <xf numFmtId="4" fontId="8" fillId="4" borderId="7" xfId="2" applyNumberFormat="1" applyFont="1" applyFill="1" applyBorder="1" applyAlignment="1" applyProtection="1">
      <alignment horizontal="center" vertical="center"/>
      <protection locked="0"/>
    </xf>
    <xf numFmtId="4" fontId="8" fillId="4" borderId="8" xfId="2" applyNumberFormat="1" applyFont="1" applyFill="1" applyBorder="1" applyAlignment="1" applyProtection="1">
      <alignment horizontal="center" vertical="center"/>
      <protection locked="0"/>
    </xf>
    <xf numFmtId="4" fontId="8" fillId="4" borderId="9" xfId="2" applyNumberFormat="1" applyFont="1" applyFill="1" applyBorder="1" applyAlignment="1" applyProtection="1">
      <alignment horizontal="center" vertical="center"/>
      <protection locked="0"/>
    </xf>
    <xf numFmtId="4" fontId="7" fillId="8" borderId="0" xfId="0" applyNumberFormat="1" applyFont="1" applyFill="1" applyBorder="1" applyAlignment="1" applyProtection="1">
      <alignment horizontal="center" vertical="center"/>
    </xf>
    <xf numFmtId="0" fontId="0" fillId="8" borderId="4" xfId="0" applyFont="1" applyFill="1" applyBorder="1" applyAlignment="1" applyProtection="1"/>
    <xf numFmtId="0" fontId="0" fillId="8" borderId="4" xfId="0" applyFont="1" applyFill="1" applyBorder="1" applyAlignment="1" applyProtection="1">
      <alignment horizontal="left" wrapText="1"/>
    </xf>
    <xf numFmtId="0" fontId="0" fillId="8" borderId="4" xfId="0" applyFont="1" applyFill="1" applyBorder="1" applyAlignment="1" applyProtection="1">
      <alignment horizontal="left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0" fillId="4" borderId="9" xfId="0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 applyAlignment="1" applyProtection="1">
      <alignment horizontal="center" vertical="center" wrapText="1"/>
      <protection locked="0"/>
    </xf>
    <xf numFmtId="0" fontId="0" fillId="4" borderId="9" xfId="0" applyFont="1" applyFill="1" applyBorder="1" applyAlignment="1" applyProtection="1">
      <alignment horizontal="center" vertical="center" wrapText="1"/>
      <protection locked="0"/>
    </xf>
    <xf numFmtId="14" fontId="0" fillId="4" borderId="7" xfId="0" applyNumberFormat="1" applyFont="1" applyFill="1" applyBorder="1" applyAlignment="1" applyProtection="1">
      <alignment horizontal="center" vertical="center"/>
      <protection locked="0"/>
    </xf>
    <xf numFmtId="14" fontId="0" fillId="4" borderId="8" xfId="0" applyNumberFormat="1" applyFont="1" applyFill="1" applyBorder="1" applyAlignment="1" applyProtection="1">
      <alignment horizontal="center" vertical="center"/>
      <protection locked="0"/>
    </xf>
    <xf numFmtId="14" fontId="0" fillId="4" borderId="9" xfId="0" applyNumberFormat="1" applyFont="1" applyFill="1" applyBorder="1" applyAlignment="1" applyProtection="1">
      <alignment horizontal="center" vertical="center"/>
      <protection locked="0"/>
    </xf>
    <xf numFmtId="167" fontId="0" fillId="4" borderId="7" xfId="0" applyNumberFormat="1" applyFont="1" applyFill="1" applyBorder="1" applyAlignment="1" applyProtection="1">
      <alignment horizontal="center" vertical="center"/>
      <protection locked="0"/>
    </xf>
    <xf numFmtId="167" fontId="0" fillId="4" borderId="9" xfId="0" applyNumberFormat="1" applyFont="1" applyFill="1" applyBorder="1" applyAlignment="1" applyProtection="1">
      <alignment horizontal="center" vertical="center"/>
      <protection locked="0"/>
    </xf>
    <xf numFmtId="0" fontId="0" fillId="4" borderId="8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 applyProtection="1">
      <alignment horizontal="left" vertical="center"/>
    </xf>
    <xf numFmtId="0" fontId="6" fillId="6" borderId="20" xfId="0" applyFont="1" applyFill="1" applyBorder="1" applyAlignment="1" applyProtection="1">
      <alignment horizontal="left" vertical="center"/>
    </xf>
    <xf numFmtId="0" fontId="6" fillId="6" borderId="21" xfId="0" applyFont="1" applyFill="1" applyBorder="1" applyAlignment="1" applyProtection="1">
      <alignment horizontal="left" vertical="center"/>
    </xf>
    <xf numFmtId="9" fontId="8" fillId="7" borderId="0" xfId="10" applyFont="1" applyFill="1" applyBorder="1" applyAlignment="1" applyProtection="1">
      <alignment horizontal="center" vertical="center"/>
    </xf>
    <xf numFmtId="3" fontId="5" fillId="0" borderId="6" xfId="2" applyNumberFormat="1" applyFont="1" applyFill="1" applyBorder="1" applyAlignment="1" applyProtection="1">
      <alignment horizontal="center" vertical="center"/>
      <protection locked="0"/>
    </xf>
    <xf numFmtId="2" fontId="0" fillId="4" borderId="7" xfId="0" applyNumberFormat="1" applyFont="1" applyFill="1" applyBorder="1" applyAlignment="1" applyProtection="1">
      <alignment horizontal="center" vertical="center"/>
      <protection locked="0"/>
    </xf>
    <xf numFmtId="2" fontId="0" fillId="4" borderId="9" xfId="0" applyNumberFormat="1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/>
      <protection locked="0"/>
    </xf>
    <xf numFmtId="9" fontId="0" fillId="4" borderId="0" xfId="1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67" fontId="0" fillId="8" borderId="7" xfId="0" quotePrefix="1" applyNumberFormat="1" applyFont="1" applyFill="1" applyBorder="1" applyAlignment="1" applyProtection="1">
      <alignment horizontal="center" vertical="center"/>
    </xf>
    <xf numFmtId="167" fontId="0" fillId="8" borderId="9" xfId="0" applyNumberFormat="1" applyFont="1" applyFill="1" applyBorder="1" applyAlignment="1" applyProtection="1">
      <alignment horizontal="center" vertical="center"/>
    </xf>
    <xf numFmtId="165" fontId="7" fillId="7" borderId="22" xfId="10" applyNumberFormat="1" applyFont="1" applyFill="1" applyBorder="1" applyAlignment="1" applyProtection="1">
      <alignment horizontal="center" vertical="center"/>
    </xf>
    <xf numFmtId="165" fontId="7" fillId="7" borderId="23" xfId="10" applyNumberFormat="1" applyFont="1" applyFill="1" applyBorder="1" applyAlignment="1" applyProtection="1">
      <alignment horizontal="center" vertical="center"/>
    </xf>
    <xf numFmtId="0" fontId="0" fillId="7" borderId="0" xfId="0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4" fontId="7" fillId="8" borderId="7" xfId="0" applyNumberFormat="1" applyFont="1" applyFill="1" applyBorder="1" applyAlignment="1">
      <alignment horizontal="center" vertical="center"/>
    </xf>
    <xf numFmtId="4" fontId="7" fillId="8" borderId="8" xfId="0" applyNumberFormat="1" applyFont="1" applyFill="1" applyBorder="1" applyAlignment="1">
      <alignment horizontal="center" vertical="center"/>
    </xf>
    <xf numFmtId="4" fontId="7" fillId="8" borderId="9" xfId="0" applyNumberFormat="1" applyFont="1" applyFill="1" applyBorder="1" applyAlignment="1">
      <alignment horizontal="center" vertical="center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8" borderId="0" xfId="0" applyFont="1" applyFill="1" applyBorder="1" applyAlignment="1">
      <alignment horizontal="center"/>
    </xf>
    <xf numFmtId="0" fontId="0" fillId="8" borderId="0" xfId="0" applyFont="1" applyFill="1" applyAlignment="1"/>
    <xf numFmtId="9" fontId="8" fillId="7" borderId="7" xfId="10" applyFont="1" applyFill="1" applyBorder="1" applyAlignment="1">
      <alignment horizontal="center" vertical="center"/>
    </xf>
    <xf numFmtId="9" fontId="8" fillId="7" borderId="8" xfId="10" applyFont="1" applyFill="1" applyBorder="1" applyAlignment="1">
      <alignment horizontal="center" vertical="center"/>
    </xf>
    <xf numFmtId="9" fontId="8" fillId="7" borderId="9" xfId="10" applyFont="1" applyFill="1" applyBorder="1" applyAlignment="1">
      <alignment horizontal="center" vertical="center"/>
    </xf>
    <xf numFmtId="0" fontId="0" fillId="8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7" xfId="0" applyFont="1" applyFill="1" applyBorder="1" applyAlignment="1">
      <alignment horizontal="center" vertical="center"/>
    </xf>
    <xf numFmtId="9" fontId="8" fillId="7" borderId="0" xfId="1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left" vertical="center"/>
    </xf>
    <xf numFmtId="167" fontId="7" fillId="8" borderId="9" xfId="0" applyNumberFormat="1" applyFont="1" applyFill="1" applyBorder="1" applyAlignment="1" applyProtection="1">
      <alignment horizontal="center" vertical="center"/>
    </xf>
    <xf numFmtId="0" fontId="0" fillId="8" borderId="0" xfId="0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0" xfId="0" applyFont="1" applyFill="1" applyBorder="1" applyAlignment="1" applyProtection="1">
      <alignment horizontal="left" wrapText="1"/>
    </xf>
    <xf numFmtId="0" fontId="0" fillId="8" borderId="0" xfId="0" applyFill="1" applyBorder="1" applyAlignment="1" applyProtection="1">
      <alignment horizontal="left" wrapText="1"/>
    </xf>
    <xf numFmtId="0" fontId="0" fillId="8" borderId="0" xfId="0" applyFont="1" applyFill="1" applyBorder="1" applyAlignment="1" applyProtection="1">
      <alignment horizontal="left"/>
    </xf>
    <xf numFmtId="0" fontId="0" fillId="8" borderId="0" xfId="0" applyFill="1" applyBorder="1" applyAlignment="1" applyProtection="1">
      <alignment horizontal="left"/>
    </xf>
    <xf numFmtId="0" fontId="0" fillId="0" borderId="9" xfId="0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167" fontId="0" fillId="4" borderId="9" xfId="0" applyNumberFormat="1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left" vertical="center"/>
    </xf>
    <xf numFmtId="0" fontId="0" fillId="6" borderId="13" xfId="0" applyFill="1" applyBorder="1" applyAlignment="1" applyProtection="1">
      <alignment horizontal="left" vertical="center"/>
    </xf>
    <xf numFmtId="9" fontId="5" fillId="4" borderId="7" xfId="1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6" fillId="6" borderId="22" xfId="0" applyFont="1" applyFill="1" applyBorder="1" applyAlignment="1" applyProtection="1">
      <alignment horizontal="center" vertical="center"/>
    </xf>
    <xf numFmtId="0" fontId="6" fillId="6" borderId="24" xfId="0" applyFont="1" applyFill="1" applyBorder="1" applyAlignment="1" applyProtection="1">
      <alignment horizontal="center" vertical="center"/>
    </xf>
    <xf numFmtId="0" fontId="6" fillId="6" borderId="23" xfId="0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7" fillId="8" borderId="0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vertical="center"/>
    </xf>
    <xf numFmtId="0" fontId="12" fillId="8" borderId="15" xfId="0" applyFont="1" applyFill="1" applyBorder="1" applyAlignment="1" applyProtection="1"/>
    <xf numFmtId="0" fontId="12" fillId="8" borderId="15" xfId="0" applyFont="1" applyFill="1" applyBorder="1" applyAlignment="1" applyProtection="1">
      <alignment vertical="center"/>
    </xf>
    <xf numFmtId="0" fontId="12" fillId="8" borderId="18" xfId="0" applyFont="1" applyFill="1" applyBorder="1" applyAlignment="1" applyProtection="1"/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6" fillId="6" borderId="22" xfId="0" applyFont="1" applyFill="1" applyBorder="1" applyAlignment="1" applyProtection="1">
      <alignment horizontal="left" vertical="center"/>
    </xf>
    <xf numFmtId="0" fontId="6" fillId="6" borderId="24" xfId="0" applyFont="1" applyFill="1" applyBorder="1" applyAlignment="1" applyProtection="1">
      <alignment horizontal="left" vertical="center"/>
    </xf>
    <xf numFmtId="0" fontId="6" fillId="6" borderId="23" xfId="0" applyFont="1" applyFill="1" applyBorder="1" applyAlignment="1" applyProtection="1">
      <alignment horizontal="left" vertical="center"/>
    </xf>
    <xf numFmtId="0" fontId="11" fillId="8" borderId="15" xfId="0" applyFont="1" applyFill="1" applyBorder="1" applyAlignment="1" applyProtection="1"/>
    <xf numFmtId="0" fontId="11" fillId="8" borderId="15" xfId="0" applyFont="1" applyFill="1" applyBorder="1" applyAlignment="1" applyProtection="1">
      <alignment vertical="center"/>
    </xf>
    <xf numFmtId="0" fontId="11" fillId="8" borderId="18" xfId="0" applyFont="1" applyFill="1" applyBorder="1" applyAlignment="1" applyProtection="1"/>
    <xf numFmtId="0" fontId="0" fillId="8" borderId="19" xfId="0" applyFont="1" applyFill="1" applyBorder="1" applyProtection="1"/>
    <xf numFmtId="0" fontId="0" fillId="8" borderId="20" xfId="0" applyFont="1" applyFill="1" applyBorder="1" applyProtection="1"/>
    <xf numFmtId="0" fontId="0" fillId="8" borderId="20" xfId="0" applyFont="1" applyFill="1" applyBorder="1" applyAlignment="1" applyProtection="1">
      <alignment vertical="center" wrapText="1"/>
    </xf>
    <xf numFmtId="0" fontId="11" fillId="8" borderId="21" xfId="0" applyFont="1" applyFill="1" applyBorder="1" applyAlignment="1" applyProtection="1"/>
    <xf numFmtId="0" fontId="0" fillId="0" borderId="6" xfId="0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14" fontId="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protection locked="0"/>
    </xf>
    <xf numFmtId="167" fontId="0" fillId="4" borderId="6" xfId="0" applyNumberFormat="1" applyFont="1" applyFill="1" applyBorder="1" applyAlignment="1" applyProtection="1">
      <alignment horizontal="center" vertical="center"/>
      <protection locked="0"/>
    </xf>
    <xf numFmtId="167" fontId="0" fillId="4" borderId="6" xfId="0" applyNumberFormat="1" applyFill="1" applyBorder="1" applyAlignment="1" applyProtection="1">
      <alignment horizontal="center" vertical="center"/>
      <protection locked="0"/>
    </xf>
    <xf numFmtId="4" fontId="5" fillId="0" borderId="6" xfId="2" applyNumberFormat="1" applyFont="1" applyFill="1" applyBorder="1" applyAlignment="1" applyProtection="1">
      <alignment horizontal="center" vertical="center"/>
      <protection locked="0"/>
    </xf>
    <xf numFmtId="167" fontId="7" fillId="8" borderId="6" xfId="0" quotePrefix="1" applyNumberFormat="1" applyFont="1" applyFill="1" applyBorder="1" applyAlignment="1" applyProtection="1">
      <alignment horizontal="center" vertical="center"/>
    </xf>
    <xf numFmtId="167" fontId="7" fillId="8" borderId="6" xfId="0" applyNumberFormat="1" applyFont="1" applyFill="1" applyBorder="1" applyAlignment="1" applyProtection="1">
      <alignment horizontal="center" vertical="center"/>
    </xf>
    <xf numFmtId="0" fontId="8" fillId="8" borderId="15" xfId="0" applyFont="1" applyFill="1" applyBorder="1" applyAlignment="1" applyProtection="1">
      <alignment vertical="center"/>
    </xf>
    <xf numFmtId="4" fontId="11" fillId="8" borderId="15" xfId="0" applyNumberFormat="1" applyFont="1" applyFill="1" applyBorder="1" applyAlignment="1" applyProtection="1">
      <alignment vertical="center"/>
    </xf>
    <xf numFmtId="4" fontId="8" fillId="4" borderId="6" xfId="2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4" fontId="7" fillId="8" borderId="6" xfId="0" applyNumberFormat="1" applyFont="1" applyFill="1" applyBorder="1" applyAlignment="1" applyProtection="1">
      <alignment horizontal="center" vertical="center"/>
    </xf>
    <xf numFmtId="4" fontId="5" fillId="8" borderId="0" xfId="2" applyNumberFormat="1" applyFont="1" applyFill="1" applyBorder="1" applyAlignment="1" applyProtection="1">
      <alignment horizontal="center" vertical="center"/>
    </xf>
  </cellXfs>
  <cellStyles count="13">
    <cellStyle name="20% - Accent4 2" xfId="1"/>
    <cellStyle name="Comma" xfId="2" builtinId="3"/>
    <cellStyle name="Comma 2" xfId="3"/>
    <cellStyle name="Comma 3" xfId="4"/>
    <cellStyle name="Comma 4" xfId="5"/>
    <cellStyle name="Comma 4 2" xfId="6"/>
    <cellStyle name="Normal" xfId="0" builtinId="0"/>
    <cellStyle name="Normal 2" xfId="7"/>
    <cellStyle name="Normal 3" xfId="8"/>
    <cellStyle name="Normal 4" xfId="9"/>
    <cellStyle name="Percent" xfId="10" builtinId="5"/>
    <cellStyle name="Percent 2" xfId="11"/>
    <cellStyle name="Percent 2 2" xfId="12"/>
  </cellStyles>
  <dxfs count="0"/>
  <tableStyles count="0" defaultTableStyle="TableStyleMedium2" defaultPivotStyle="PivotStyleLight16"/>
  <colors>
    <mruColors>
      <color rgb="FFC5BFCC"/>
      <color rgb="FF3F2C59"/>
      <color rgb="FFF9B114"/>
      <color rgb="FF00A19A"/>
      <color rgb="FFFCD889"/>
      <color rgb="FF9F95AA"/>
      <color rgb="FF1C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296635</xdr:colOff>
      <xdr:row>38</xdr:row>
      <xdr:rowOff>54428</xdr:rowOff>
    </xdr:from>
    <xdr:to>
      <xdr:col>25</xdr:col>
      <xdr:colOff>160321</xdr:colOff>
      <xdr:row>41</xdr:row>
      <xdr:rowOff>62099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6435" y="6045653"/>
          <a:ext cx="2216361" cy="579171"/>
        </a:xfrm>
        <a:prstGeom prst="rect">
          <a:avLst/>
        </a:prstGeom>
      </xdr:spPr>
    </xdr:pic>
    <xdr:clientData/>
  </xdr:twoCellAnchor>
  <xdr:twoCellAnchor>
    <xdr:from>
      <xdr:col>0</xdr:col>
      <xdr:colOff>830035</xdr:colOff>
      <xdr:row>3</xdr:row>
      <xdr:rowOff>122464</xdr:rowOff>
    </xdr:from>
    <xdr:to>
      <xdr:col>25</xdr:col>
      <xdr:colOff>285749</xdr:colOff>
      <xdr:row>7</xdr:row>
      <xdr:rowOff>68035</xdr:rowOff>
    </xdr:to>
    <xdr:sp macro="" textlink="">
      <xdr:nvSpPr>
        <xdr:cNvPr id="3" name="Rounded Rectangle 2"/>
        <xdr:cNvSpPr/>
      </xdr:nvSpPr>
      <xdr:spPr>
        <a:xfrm>
          <a:off x="830035" y="693964"/>
          <a:ext cx="15448189" cy="707571"/>
        </a:xfrm>
        <a:prstGeom prst="roundRect">
          <a:avLst/>
        </a:prstGeom>
        <a:solidFill>
          <a:srgbClr val="00A19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400" b="1">
              <a:latin typeface="Times New Roman" panose="02020603050405020304" pitchFamily="18" charset="0"/>
              <a:cs typeface="Times New Roman" panose="02020603050405020304" pitchFamily="18" charset="0"/>
            </a:rPr>
            <a:t>Serviced Bridge Interest Cover</a:t>
          </a:r>
          <a:r>
            <a:rPr lang="en-GB" sz="2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Ratio (ICR) </a:t>
          </a:r>
          <a:r>
            <a:rPr lang="en-GB" sz="2400" b="1">
              <a:latin typeface="Times New Roman" panose="02020603050405020304" pitchFamily="18" charset="0"/>
              <a:cs typeface="Times New Roman" panose="02020603050405020304" pitchFamily="18" charset="0"/>
            </a:rPr>
            <a:t>Affordability Calculator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27213</xdr:colOff>
      <xdr:row>1</xdr:row>
      <xdr:rowOff>35719</xdr:rowOff>
    </xdr:from>
    <xdr:to>
      <xdr:col>24</xdr:col>
      <xdr:colOff>598713</xdr:colOff>
      <xdr:row>4</xdr:row>
      <xdr:rowOff>190500</xdr:rowOff>
    </xdr:to>
    <xdr:sp macro="" textlink="">
      <xdr:nvSpPr>
        <xdr:cNvPr id="2" name="Rounded Rectangle 1"/>
        <xdr:cNvSpPr/>
      </xdr:nvSpPr>
      <xdr:spPr>
        <a:xfrm>
          <a:off x="932088" y="264319"/>
          <a:ext cx="16030575" cy="726281"/>
        </a:xfrm>
        <a:prstGeom prst="roundRect">
          <a:avLst/>
        </a:prstGeom>
        <a:solidFill>
          <a:srgbClr val="00A19A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4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Serviced Bridge Total Secured Debt to Income (TSDI)  Affordability Calculator</a:t>
          </a:r>
        </a:p>
      </xdr:txBody>
    </xdr:sp>
    <xdr:clientData/>
  </xdr:twoCellAnchor>
  <xdr:twoCellAnchor editAs="oneCell">
    <xdr:from>
      <xdr:col>21</xdr:col>
      <xdr:colOff>247651</xdr:colOff>
      <xdr:row>56</xdr:row>
      <xdr:rowOff>97971</xdr:rowOff>
    </xdr:from>
    <xdr:to>
      <xdr:col>24</xdr:col>
      <xdr:colOff>492337</xdr:colOff>
      <xdr:row>58</xdr:row>
      <xdr:rowOff>280834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1" y="7251246"/>
          <a:ext cx="2225886" cy="573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296635</xdr:colOff>
      <xdr:row>38</xdr:row>
      <xdr:rowOff>54428</xdr:rowOff>
    </xdr:from>
    <xdr:to>
      <xdr:col>25</xdr:col>
      <xdr:colOff>160321</xdr:colOff>
      <xdr:row>41</xdr:row>
      <xdr:rowOff>62099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4778" y="7935685"/>
          <a:ext cx="2291200" cy="562842"/>
        </a:xfrm>
        <a:prstGeom prst="rect">
          <a:avLst/>
        </a:prstGeom>
      </xdr:spPr>
    </xdr:pic>
    <xdr:clientData/>
  </xdr:twoCellAnchor>
  <xdr:twoCellAnchor>
    <xdr:from>
      <xdr:col>0</xdr:col>
      <xdr:colOff>830035</xdr:colOff>
      <xdr:row>3</xdr:row>
      <xdr:rowOff>122464</xdr:rowOff>
    </xdr:from>
    <xdr:to>
      <xdr:col>25</xdr:col>
      <xdr:colOff>285749</xdr:colOff>
      <xdr:row>7</xdr:row>
      <xdr:rowOff>68035</xdr:rowOff>
    </xdr:to>
    <xdr:sp macro="" textlink="">
      <xdr:nvSpPr>
        <xdr:cNvPr id="3" name="Rounded Rectangle 2"/>
        <xdr:cNvSpPr/>
      </xdr:nvSpPr>
      <xdr:spPr>
        <a:xfrm>
          <a:off x="830035" y="693964"/>
          <a:ext cx="15493433" cy="707571"/>
        </a:xfrm>
        <a:prstGeom prst="roundRect">
          <a:avLst/>
        </a:prstGeom>
        <a:solidFill>
          <a:srgbClr val="00A19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400" b="1">
              <a:latin typeface="Times New Roman" panose="02020603050405020304" pitchFamily="18" charset="0"/>
              <a:cs typeface="Times New Roman" panose="02020603050405020304" pitchFamily="18" charset="0"/>
            </a:rPr>
            <a:t>Commercial Term Interest</a:t>
          </a:r>
          <a:r>
            <a:rPr lang="en-GB" sz="2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Cover Ratio (I</a:t>
          </a:r>
          <a:r>
            <a:rPr lang="en-GB" sz="2400" b="1">
              <a:latin typeface="Times New Roman" panose="02020603050405020304" pitchFamily="18" charset="0"/>
              <a:cs typeface="Times New Roman" panose="02020603050405020304" pitchFamily="18" charset="0"/>
            </a:rPr>
            <a:t>CR)</a:t>
          </a:r>
          <a:r>
            <a:rPr lang="en-GB" sz="2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GB" sz="2400" b="1">
              <a:latin typeface="Times New Roman" panose="02020603050405020304" pitchFamily="18" charset="0"/>
              <a:cs typeface="Times New Roman" panose="02020603050405020304" pitchFamily="18" charset="0"/>
            </a:rPr>
            <a:t>Affordability Calculator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27213</xdr:colOff>
      <xdr:row>1</xdr:row>
      <xdr:rowOff>35719</xdr:rowOff>
    </xdr:from>
    <xdr:to>
      <xdr:col>24</xdr:col>
      <xdr:colOff>598713</xdr:colOff>
      <xdr:row>4</xdr:row>
      <xdr:rowOff>190500</xdr:rowOff>
    </xdr:to>
    <xdr:sp macro="" textlink="">
      <xdr:nvSpPr>
        <xdr:cNvPr id="2" name="Rounded Rectangle 1"/>
        <xdr:cNvSpPr/>
      </xdr:nvSpPr>
      <xdr:spPr>
        <a:xfrm>
          <a:off x="932088" y="226219"/>
          <a:ext cx="15990094" cy="726281"/>
        </a:xfrm>
        <a:prstGeom prst="roundRect">
          <a:avLst/>
        </a:prstGeom>
        <a:solidFill>
          <a:srgbClr val="00A19A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4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Commercial Term Total Secured Debt to Income (TSDI) Affordability Calculator</a:t>
          </a:r>
        </a:p>
      </xdr:txBody>
    </xdr:sp>
    <xdr:clientData/>
  </xdr:twoCellAnchor>
  <xdr:twoCellAnchor editAs="oneCell">
    <xdr:from>
      <xdr:col>21</xdr:col>
      <xdr:colOff>247651</xdr:colOff>
      <xdr:row>56</xdr:row>
      <xdr:rowOff>97971</xdr:rowOff>
    </xdr:from>
    <xdr:to>
      <xdr:col>24</xdr:col>
      <xdr:colOff>492337</xdr:colOff>
      <xdr:row>58</xdr:row>
      <xdr:rowOff>280834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68451" y="9263742"/>
          <a:ext cx="2269429" cy="5573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</xdr:row>
      <xdr:rowOff>23812</xdr:rowOff>
    </xdr:from>
    <xdr:to>
      <xdr:col>26</xdr:col>
      <xdr:colOff>0</xdr:colOff>
      <xdr:row>4</xdr:row>
      <xdr:rowOff>178593</xdr:rowOff>
    </xdr:to>
    <xdr:sp macro="" textlink="">
      <xdr:nvSpPr>
        <xdr:cNvPr id="4" name="Rounded Rectangle 3"/>
        <xdr:cNvSpPr/>
      </xdr:nvSpPr>
      <xdr:spPr>
        <a:xfrm>
          <a:off x="619125" y="142875"/>
          <a:ext cx="15382875" cy="726281"/>
        </a:xfrm>
        <a:prstGeom prst="roundRect">
          <a:avLst/>
        </a:prstGeom>
        <a:solidFill>
          <a:srgbClr val="00A19A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4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BTL Interest Cover Ratio (ICR) Affordability Calculator</a:t>
          </a:r>
        </a:p>
      </xdr:txBody>
    </xdr:sp>
    <xdr:clientData/>
  </xdr:twoCellAnchor>
  <xdr:twoCellAnchor editAs="oneCell">
    <xdr:from>
      <xdr:col>22</xdr:col>
      <xdr:colOff>59530</xdr:colOff>
      <xdr:row>37</xdr:row>
      <xdr:rowOff>59532</xdr:rowOff>
    </xdr:from>
    <xdr:to>
      <xdr:col>25</xdr:col>
      <xdr:colOff>458997</xdr:colOff>
      <xdr:row>40</xdr:row>
      <xdr:rowOff>67203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2655" y="6024563"/>
          <a:ext cx="2221124" cy="5791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296635</xdr:colOff>
      <xdr:row>39</xdr:row>
      <xdr:rowOff>54428</xdr:rowOff>
    </xdr:from>
    <xdr:to>
      <xdr:col>27</xdr:col>
      <xdr:colOff>719915</xdr:colOff>
      <xdr:row>42</xdr:row>
      <xdr:rowOff>62099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9010" y="7495834"/>
          <a:ext cx="2221124" cy="579171"/>
        </a:xfrm>
        <a:prstGeom prst="rect">
          <a:avLst/>
        </a:prstGeom>
      </xdr:spPr>
    </xdr:pic>
    <xdr:clientData/>
  </xdr:twoCellAnchor>
  <xdr:twoCellAnchor>
    <xdr:from>
      <xdr:col>1</xdr:col>
      <xdr:colOff>4761</xdr:colOff>
      <xdr:row>1</xdr:row>
      <xdr:rowOff>122464</xdr:rowOff>
    </xdr:from>
    <xdr:to>
      <xdr:col>29</xdr:col>
      <xdr:colOff>11905</xdr:colOff>
      <xdr:row>5</xdr:row>
      <xdr:rowOff>68035</xdr:rowOff>
    </xdr:to>
    <xdr:sp macro="" textlink="">
      <xdr:nvSpPr>
        <xdr:cNvPr id="3" name="Rounded Rectangle 2"/>
        <xdr:cNvSpPr/>
      </xdr:nvSpPr>
      <xdr:spPr>
        <a:xfrm>
          <a:off x="766761" y="312964"/>
          <a:ext cx="17199769" cy="707571"/>
        </a:xfrm>
        <a:prstGeom prst="roundRect">
          <a:avLst/>
        </a:prstGeom>
        <a:solidFill>
          <a:srgbClr val="00A19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 b="1" i="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Holiday Let Interest Cover Ratio (ICR) Affordability Calculator</a:t>
          </a:r>
          <a:endParaRPr lang="en-GB" sz="4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870856</xdr:colOff>
      <xdr:row>0</xdr:row>
      <xdr:rowOff>66335</xdr:rowOff>
    </xdr:from>
    <xdr:to>
      <xdr:col>25</xdr:col>
      <xdr:colOff>13606</xdr:colOff>
      <xdr:row>3</xdr:row>
      <xdr:rowOff>202406</xdr:rowOff>
    </xdr:to>
    <xdr:sp macro="" textlink="">
      <xdr:nvSpPr>
        <xdr:cNvPr id="2" name="Rounded Rectangle 1"/>
        <xdr:cNvSpPr/>
      </xdr:nvSpPr>
      <xdr:spPr>
        <a:xfrm>
          <a:off x="870856" y="66335"/>
          <a:ext cx="15954375" cy="707571"/>
        </a:xfrm>
        <a:prstGeom prst="roundRect">
          <a:avLst/>
        </a:prstGeom>
        <a:solidFill>
          <a:srgbClr val="00A19A"/>
        </a:solidFill>
        <a:ln w="2540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 b="1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Holiday Let </a:t>
          </a:r>
          <a:r>
            <a:rPr lang="en-GB" sz="2400" b="1" i="0" baseline="0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Total Secured Debt to Income</a:t>
          </a:r>
          <a:r>
            <a:rPr lang="en-GB" sz="2400" b="1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(TSDI) Affordability Calculator</a:t>
          </a:r>
          <a:endParaRPr lang="en-GB" sz="4800">
            <a:solidFill>
              <a:schemeClr val="bg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21</xdr:col>
      <xdr:colOff>247651</xdr:colOff>
      <xdr:row>48</xdr:row>
      <xdr:rowOff>97971</xdr:rowOff>
    </xdr:from>
    <xdr:to>
      <xdr:col>24</xdr:col>
      <xdr:colOff>492337</xdr:colOff>
      <xdr:row>50</xdr:row>
      <xdr:rowOff>280833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6101" y="9651546"/>
          <a:ext cx="2225886" cy="5710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0</xdr:rowOff>
    </xdr:from>
    <xdr:to>
      <xdr:col>11</xdr:col>
      <xdr:colOff>19050</xdr:colOff>
      <xdr:row>3</xdr:row>
      <xdr:rowOff>161925</xdr:rowOff>
    </xdr:to>
    <xdr:sp macro="" textlink="">
      <xdr:nvSpPr>
        <xdr:cNvPr id="2" name="Rounded Rectangle 1"/>
        <xdr:cNvSpPr/>
      </xdr:nvSpPr>
      <xdr:spPr>
        <a:xfrm>
          <a:off x="590549" y="190500"/>
          <a:ext cx="10506076" cy="542925"/>
        </a:xfrm>
        <a:prstGeom prst="roundRect">
          <a:avLst/>
        </a:prstGeom>
        <a:solidFill>
          <a:srgbClr val="00A19A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Ground Rent and Service Charge Calculator</a:t>
          </a:r>
        </a:p>
      </xdr:txBody>
    </xdr:sp>
    <xdr:clientData/>
  </xdr:twoCellAnchor>
  <xdr:twoCellAnchor editAs="oneCell">
    <xdr:from>
      <xdr:col>8</xdr:col>
      <xdr:colOff>3133725</xdr:colOff>
      <xdr:row>13</xdr:row>
      <xdr:rowOff>133350</xdr:rowOff>
    </xdr:from>
    <xdr:to>
      <xdr:col>10</xdr:col>
      <xdr:colOff>549152</xdr:colOff>
      <xdr:row>15</xdr:row>
      <xdr:rowOff>131496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3100" y="2695575"/>
          <a:ext cx="1454027" cy="379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Relationship%20Team/Credit%20+%20Portfolio%20Risk/Amani%20Ahmed/Affordability/Commercial%20Term%20Calc/COMMERCIAL%20TERM%20CALCULATOR%20-%20INTERNAL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_Stress"/>
      <sheetName val="ICR"/>
      <sheetName val="TSDI"/>
      <sheetName val="Ground Rent - Service Charge"/>
      <sheetName val="lookup"/>
    </sheetNames>
    <sheetDataSet>
      <sheetData sheetId="0">
        <row r="4">
          <cell r="E4">
            <v>0.01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5"/>
  <sheetViews>
    <sheetView showGridLines="0" workbookViewId="0">
      <selection activeCell="E4" sqref="E4:F4"/>
    </sheetView>
  </sheetViews>
  <sheetFormatPr defaultColWidth="9.140625" defaultRowHeight="15" x14ac:dyDescent="0.25"/>
  <cols>
    <col min="1" max="2" width="9.140625" style="14"/>
    <col min="3" max="3" width="12.7109375" style="14" customWidth="1"/>
    <col min="4" max="16384" width="9.140625" style="14"/>
  </cols>
  <sheetData>
    <row r="2" spans="2:7" x14ac:dyDescent="0.25">
      <c r="B2" s="216" t="s">
        <v>38</v>
      </c>
      <c r="C2" s="217"/>
      <c r="D2" s="217"/>
      <c r="E2" s="217"/>
      <c r="F2" s="217"/>
      <c r="G2" s="218"/>
    </row>
    <row r="3" spans="2:7" x14ac:dyDescent="0.25">
      <c r="B3" s="1"/>
      <c r="C3" s="2"/>
      <c r="D3" s="2"/>
      <c r="E3" s="2"/>
      <c r="F3" s="2"/>
      <c r="G3" s="3"/>
    </row>
    <row r="4" spans="2:7" x14ac:dyDescent="0.25">
      <c r="B4" s="7"/>
      <c r="C4" s="4" t="s">
        <v>37</v>
      </c>
      <c r="D4" s="5"/>
      <c r="E4" s="219">
        <v>0.01</v>
      </c>
      <c r="F4" s="220"/>
      <c r="G4" s="12"/>
    </row>
    <row r="5" spans="2:7" x14ac:dyDescent="0.25">
      <c r="B5" s="8"/>
      <c r="C5" s="11"/>
      <c r="D5" s="9"/>
      <c r="E5" s="9"/>
      <c r="F5" s="9"/>
      <c r="G5" s="10"/>
    </row>
  </sheetData>
  <mergeCells count="2">
    <mergeCell ref="B2:G2"/>
    <mergeCell ref="E4:F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Commercial Term'!$O$7:$O$10</xm:f>
          </x14:formula1>
          <xm:sqref>E4:F4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zoomScale="80" zoomScaleNormal="80" workbookViewId="0">
      <selection activeCell="S29" sqref="S29"/>
    </sheetView>
  </sheetViews>
  <sheetFormatPr defaultColWidth="9.140625" defaultRowHeight="15" x14ac:dyDescent="0.25"/>
  <cols>
    <col min="1" max="14" width="9.140625" style="14"/>
    <col min="15" max="15" width="12.42578125" style="14" customWidth="1"/>
    <col min="16" max="20" width="9.140625" style="14"/>
    <col min="21" max="21" width="15.85546875" style="14" bestFit="1" customWidth="1"/>
    <col min="22" max="22" width="16.7109375" style="14" bestFit="1" customWidth="1"/>
    <col min="23" max="23" width="13.7109375" style="14" bestFit="1" customWidth="1"/>
    <col min="24" max="16384" width="9.140625" style="14"/>
  </cols>
  <sheetData>
    <row r="2" spans="2:22" x14ac:dyDescent="0.25">
      <c r="U2" s="14" t="s">
        <v>51</v>
      </c>
      <c r="V2" s="14" t="s">
        <v>52</v>
      </c>
    </row>
    <row r="3" spans="2:22" x14ac:dyDescent="0.25">
      <c r="B3" s="15" t="s">
        <v>7</v>
      </c>
      <c r="C3" s="15"/>
      <c r="D3" s="15"/>
      <c r="E3" s="15" t="s">
        <v>16</v>
      </c>
      <c r="F3" s="15"/>
      <c r="G3" s="15"/>
      <c r="H3" s="15" t="s">
        <v>7</v>
      </c>
      <c r="I3" s="15"/>
      <c r="J3" s="15"/>
      <c r="K3" s="15" t="s">
        <v>7</v>
      </c>
      <c r="L3" s="15"/>
      <c r="M3" s="15"/>
      <c r="N3" s="15"/>
      <c r="O3" s="15"/>
      <c r="P3" s="16" t="s">
        <v>28</v>
      </c>
      <c r="Q3" s="15"/>
      <c r="U3" s="14" t="s">
        <v>21</v>
      </c>
      <c r="V3" s="31">
        <f ca="1">ROUND((('Holiday Let ICR'!K22+('Holiday Let ICR'!I22*365.25/12))-TODAY())/365.25,0)</f>
        <v>6</v>
      </c>
    </row>
    <row r="4" spans="2:22" x14ac:dyDescent="0.25">
      <c r="B4" s="15" t="s">
        <v>18</v>
      </c>
      <c r="C4" s="15"/>
      <c r="D4" s="15"/>
      <c r="E4" s="15" t="s">
        <v>80</v>
      </c>
      <c r="F4" s="15"/>
      <c r="G4" s="15"/>
      <c r="H4" s="15" t="s">
        <v>8</v>
      </c>
      <c r="I4" s="15"/>
      <c r="J4" s="15"/>
      <c r="K4" s="15" t="s">
        <v>10</v>
      </c>
      <c r="L4" s="15"/>
      <c r="M4" s="15"/>
      <c r="N4" s="15"/>
      <c r="O4" s="15"/>
      <c r="P4" s="17">
        <f>IR_Stress!E4*100</f>
        <v>1</v>
      </c>
      <c r="Q4" s="18" t="s">
        <v>4</v>
      </c>
      <c r="U4" s="14" t="s">
        <v>48</v>
      </c>
      <c r="V4" s="31">
        <f ca="1">ROUND((('Holiday Let TSDI'!K19+('Holiday Let TSDI'!I19*365.25/12))-TODAY())/365.25,0)</f>
        <v>6</v>
      </c>
    </row>
    <row r="5" spans="2:22" x14ac:dyDescent="0.25">
      <c r="B5" s="15" t="s">
        <v>19</v>
      </c>
      <c r="C5" s="15"/>
      <c r="D5" s="15"/>
      <c r="E5" s="15" t="s">
        <v>81</v>
      </c>
      <c r="F5" s="15"/>
      <c r="G5" s="15"/>
      <c r="H5" s="15" t="s">
        <v>9</v>
      </c>
      <c r="I5" s="15"/>
      <c r="J5" s="15"/>
      <c r="K5" s="15" t="s">
        <v>11</v>
      </c>
      <c r="L5" s="15"/>
      <c r="M5" s="15"/>
      <c r="N5" s="15"/>
      <c r="O5" s="15"/>
      <c r="P5" s="15"/>
      <c r="Q5" s="15"/>
    </row>
    <row r="6" spans="2:22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49</v>
      </c>
      <c r="P6" s="15" t="s">
        <v>50</v>
      </c>
      <c r="Q6" s="15"/>
    </row>
    <row r="7" spans="2:22" x14ac:dyDescent="0.25">
      <c r="B7" s="19"/>
      <c r="C7" s="15"/>
      <c r="D7" s="15"/>
      <c r="E7" s="20"/>
      <c r="F7" s="20"/>
      <c r="G7" s="20"/>
      <c r="H7" s="20"/>
      <c r="I7" s="20"/>
      <c r="J7" s="20"/>
      <c r="K7" s="20"/>
      <c r="L7" s="15"/>
      <c r="M7" s="15"/>
      <c r="N7" s="15"/>
      <c r="O7" s="32">
        <v>0</v>
      </c>
      <c r="P7" s="20">
        <v>6</v>
      </c>
      <c r="Q7" s="15"/>
    </row>
    <row r="8" spans="2:22" x14ac:dyDescent="0.25">
      <c r="B8" s="19" t="s">
        <v>21</v>
      </c>
      <c r="C8" s="15"/>
      <c r="D8" s="15" t="s">
        <v>29</v>
      </c>
      <c r="E8" s="21"/>
      <c r="F8" s="19" t="s">
        <v>35</v>
      </c>
      <c r="G8" s="15"/>
      <c r="H8" s="15" t="s">
        <v>31</v>
      </c>
      <c r="I8" s="15"/>
      <c r="J8" s="15"/>
      <c r="K8" s="15"/>
      <c r="L8" s="15"/>
      <c r="M8" s="15"/>
      <c r="N8" s="15"/>
      <c r="O8" s="32">
        <v>0.01</v>
      </c>
      <c r="P8" s="20">
        <v>5</v>
      </c>
      <c r="Q8" s="15"/>
    </row>
    <row r="9" spans="2:22" x14ac:dyDescent="0.25">
      <c r="B9" s="15" t="s">
        <v>23</v>
      </c>
      <c r="C9" s="36"/>
      <c r="D9" s="36">
        <f>(IF('Holiday Let ICR'!$O$28="Based on projected affordability",'Holiday Let ICR'!$I$28*50%,IF('Holiday Let ICR'!$O$28="Based on 2 years rental evidence",'Holiday Let ICR'!$I$28*80%)))</f>
        <v>4000</v>
      </c>
      <c r="E9" s="15"/>
      <c r="F9" s="21">
        <v>1.25</v>
      </c>
      <c r="G9" s="15"/>
      <c r="H9" s="15" t="s">
        <v>10</v>
      </c>
      <c r="I9" s="15"/>
      <c r="J9" s="15"/>
      <c r="K9" s="15"/>
      <c r="L9" s="15"/>
      <c r="M9" s="15"/>
      <c r="N9" s="15"/>
      <c r="O9" s="32">
        <v>0.02</v>
      </c>
      <c r="P9" s="20">
        <v>4</v>
      </c>
      <c r="Q9" s="15"/>
    </row>
    <row r="10" spans="2:22" x14ac:dyDescent="0.25">
      <c r="B10" s="15" t="s">
        <v>24</v>
      </c>
      <c r="C10" s="36">
        <f>IF('Holiday Let ICR'!$C$22="Yes",'Holiday Let ICR'!T14+'Holiday Let ICR'!R22,'Holiday Let ICR'!T14)</f>
        <v>1477.8073047479331</v>
      </c>
      <c r="D10" s="36">
        <f>IF('Holiday Let ICR'!C22="Yes",'Holiday Let ICR'!T16+'Holiday Let ICR'!U22,'Holiday Let ICR'!T16)</f>
        <v>1531.6653314089651</v>
      </c>
      <c r="E10" s="15"/>
      <c r="F10" s="21">
        <v>1.45</v>
      </c>
      <c r="G10" s="15"/>
      <c r="H10" s="15" t="s">
        <v>11</v>
      </c>
      <c r="I10" s="15"/>
      <c r="J10" s="15"/>
      <c r="K10" s="15"/>
      <c r="L10" s="15"/>
      <c r="M10" s="15"/>
      <c r="N10" s="15"/>
      <c r="O10" s="32">
        <v>0.03</v>
      </c>
      <c r="P10" s="20">
        <v>3</v>
      </c>
      <c r="Q10" s="15"/>
    </row>
    <row r="11" spans="2:22" x14ac:dyDescent="0.25">
      <c r="B11" s="15"/>
      <c r="C11" s="35">
        <f>C9/C10</f>
        <v>0</v>
      </c>
      <c r="D11" s="35">
        <f>D9/D10</f>
        <v>2.6115365530408892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2:22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P12" s="34">
        <v>5</v>
      </c>
      <c r="Q12" s="15"/>
    </row>
    <row r="13" spans="2:22" x14ac:dyDescent="0.25">
      <c r="B13" s="15"/>
      <c r="C13" s="15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2:22" x14ac:dyDescent="0.25">
      <c r="B14" s="15"/>
      <c r="C14" s="15" t="s">
        <v>60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7" spans="2:11" x14ac:dyDescent="0.25">
      <c r="B17" s="6" t="s">
        <v>36</v>
      </c>
      <c r="F17" s="14" t="s">
        <v>7</v>
      </c>
      <c r="K17" s="15" t="s">
        <v>7</v>
      </c>
    </row>
    <row r="18" spans="2:11" ht="15.75" x14ac:dyDescent="0.25">
      <c r="B18" s="13">
        <v>1.2</v>
      </c>
      <c r="F18" s="102" t="s">
        <v>63</v>
      </c>
      <c r="K18" s="15" t="s">
        <v>92</v>
      </c>
    </row>
    <row r="19" spans="2:11" x14ac:dyDescent="0.25">
      <c r="F19" s="22" t="s">
        <v>72</v>
      </c>
      <c r="K19" s="15" t="s">
        <v>93</v>
      </c>
    </row>
    <row r="20" spans="2:11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15" t="s">
        <v>94</v>
      </c>
    </row>
    <row r="21" spans="2:1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2:11" ht="30" x14ac:dyDescent="0.25">
      <c r="B22" s="26" t="s">
        <v>43</v>
      </c>
      <c r="C22" s="27" t="s">
        <v>39</v>
      </c>
      <c r="D22" s="27" t="s">
        <v>40</v>
      </c>
      <c r="E22" s="27" t="s">
        <v>41</v>
      </c>
      <c r="F22" s="27" t="s">
        <v>42</v>
      </c>
      <c r="G22" s="33">
        <v>0</v>
      </c>
      <c r="H22" s="15"/>
      <c r="I22" s="15"/>
      <c r="J22" s="15"/>
      <c r="K22" s="15"/>
    </row>
    <row r="23" spans="2:11" x14ac:dyDescent="0.25">
      <c r="B23" s="28">
        <v>0</v>
      </c>
      <c r="C23" s="29">
        <f>D23</f>
        <v>0</v>
      </c>
      <c r="D23" s="30">
        <v>0</v>
      </c>
      <c r="E23" s="30">
        <f>ROUND(C23*(2/3),2)</f>
        <v>0</v>
      </c>
      <c r="F23" s="30">
        <f>ROUND(C23*(1/3),2)</f>
        <v>0</v>
      </c>
      <c r="G23" s="30">
        <v>0</v>
      </c>
      <c r="I23" s="24"/>
      <c r="J23" s="23">
        <v>1</v>
      </c>
      <c r="K23" s="15"/>
    </row>
    <row r="24" spans="2:11" x14ac:dyDescent="0.25">
      <c r="B24" s="28">
        <v>1</v>
      </c>
      <c r="C24" s="29">
        <f t="shared" ref="C24:C63" si="0">D24</f>
        <v>0.02</v>
      </c>
      <c r="D24" s="30">
        <v>0.02</v>
      </c>
      <c r="E24" s="30">
        <f t="shared" ref="E24:E63" si="1">ROUND(C24*(2/3),2)</f>
        <v>0.01</v>
      </c>
      <c r="F24" s="30">
        <f t="shared" ref="F24:F63" si="2">ROUND(C24*(1/3),2)</f>
        <v>0.01</v>
      </c>
      <c r="G24" s="30">
        <v>0</v>
      </c>
      <c r="H24" s="25"/>
      <c r="I24" s="24"/>
      <c r="J24" s="25"/>
      <c r="K24" s="15"/>
    </row>
    <row r="25" spans="2:11" x14ac:dyDescent="0.25">
      <c r="B25" s="28">
        <v>2</v>
      </c>
      <c r="C25" s="29">
        <f t="shared" si="0"/>
        <v>0.03</v>
      </c>
      <c r="D25" s="30">
        <v>0.03</v>
      </c>
      <c r="E25" s="30">
        <f t="shared" si="1"/>
        <v>0.02</v>
      </c>
      <c r="F25" s="30">
        <f t="shared" si="2"/>
        <v>0.01</v>
      </c>
      <c r="G25" s="30">
        <v>0</v>
      </c>
    </row>
    <row r="26" spans="2:11" x14ac:dyDescent="0.25">
      <c r="B26" s="28">
        <v>3</v>
      </c>
      <c r="C26" s="29">
        <f t="shared" si="0"/>
        <v>0.05</v>
      </c>
      <c r="D26" s="30">
        <v>0.05</v>
      </c>
      <c r="E26" s="30">
        <f t="shared" si="1"/>
        <v>0.03</v>
      </c>
      <c r="F26" s="30">
        <f t="shared" si="2"/>
        <v>0.02</v>
      </c>
      <c r="G26" s="30">
        <v>0</v>
      </c>
    </row>
    <row r="27" spans="2:11" x14ac:dyDescent="0.25">
      <c r="B27" s="28">
        <v>4</v>
      </c>
      <c r="C27" s="29">
        <f t="shared" si="0"/>
        <v>0.06</v>
      </c>
      <c r="D27" s="30">
        <v>0.06</v>
      </c>
      <c r="E27" s="30">
        <f t="shared" si="1"/>
        <v>0.04</v>
      </c>
      <c r="F27" s="30">
        <f t="shared" si="2"/>
        <v>0.02</v>
      </c>
      <c r="G27" s="30">
        <v>0</v>
      </c>
    </row>
    <row r="28" spans="2:11" x14ac:dyDescent="0.25">
      <c r="B28" s="28">
        <v>5</v>
      </c>
      <c r="C28" s="29">
        <f t="shared" si="0"/>
        <v>7.0000000000000007E-2</v>
      </c>
      <c r="D28" s="30">
        <v>7.0000000000000007E-2</v>
      </c>
      <c r="E28" s="30">
        <f t="shared" si="1"/>
        <v>0.05</v>
      </c>
      <c r="F28" s="30">
        <f t="shared" si="2"/>
        <v>0.02</v>
      </c>
      <c r="G28" s="30">
        <v>0</v>
      </c>
    </row>
    <row r="29" spans="2:11" x14ac:dyDescent="0.25">
      <c r="B29" s="28">
        <v>6</v>
      </c>
      <c r="C29" s="29">
        <f t="shared" si="0"/>
        <v>0.09</v>
      </c>
      <c r="D29" s="30">
        <v>0.09</v>
      </c>
      <c r="E29" s="30">
        <f t="shared" si="1"/>
        <v>0.06</v>
      </c>
      <c r="F29" s="30">
        <f>ROUND(C29*(1/3),2)</f>
        <v>0.03</v>
      </c>
      <c r="G29" s="30">
        <v>0</v>
      </c>
    </row>
    <row r="30" spans="2:11" x14ac:dyDescent="0.25">
      <c r="B30" s="28">
        <v>7</v>
      </c>
      <c r="C30" s="29">
        <f t="shared" si="0"/>
        <v>0.1</v>
      </c>
      <c r="D30" s="30">
        <v>0.1</v>
      </c>
      <c r="E30" s="30">
        <f t="shared" si="1"/>
        <v>7.0000000000000007E-2</v>
      </c>
      <c r="F30" s="30">
        <f>ROUND(C30*(1/3),2)</f>
        <v>0.03</v>
      </c>
      <c r="G30" s="30">
        <v>0</v>
      </c>
    </row>
    <row r="31" spans="2:11" x14ac:dyDescent="0.25">
      <c r="B31" s="28">
        <v>8</v>
      </c>
      <c r="C31" s="29">
        <f t="shared" si="0"/>
        <v>0.12</v>
      </c>
      <c r="D31" s="30">
        <v>0.12</v>
      </c>
      <c r="E31" s="30">
        <f t="shared" si="1"/>
        <v>0.08</v>
      </c>
      <c r="F31" s="30">
        <f t="shared" si="2"/>
        <v>0.04</v>
      </c>
      <c r="G31" s="30">
        <v>0</v>
      </c>
    </row>
    <row r="32" spans="2:11" x14ac:dyDescent="0.25">
      <c r="B32" s="28">
        <v>9</v>
      </c>
      <c r="C32" s="29">
        <f t="shared" si="0"/>
        <v>0.13</v>
      </c>
      <c r="D32" s="30">
        <v>0.13</v>
      </c>
      <c r="E32" s="30">
        <f t="shared" si="1"/>
        <v>0.09</v>
      </c>
      <c r="F32" s="30">
        <f t="shared" si="2"/>
        <v>0.04</v>
      </c>
      <c r="G32" s="30">
        <v>0</v>
      </c>
    </row>
    <row r="33" spans="2:7" x14ac:dyDescent="0.25">
      <c r="B33" s="28">
        <v>10</v>
      </c>
      <c r="C33" s="29">
        <f t="shared" si="0"/>
        <v>0.14000000000000001</v>
      </c>
      <c r="D33" s="30">
        <v>0.14000000000000001</v>
      </c>
      <c r="E33" s="30">
        <f t="shared" si="1"/>
        <v>0.09</v>
      </c>
      <c r="F33" s="30">
        <f t="shared" si="2"/>
        <v>0.05</v>
      </c>
      <c r="G33" s="30">
        <v>0</v>
      </c>
    </row>
    <row r="34" spans="2:7" x14ac:dyDescent="0.25">
      <c r="B34" s="28">
        <v>11</v>
      </c>
      <c r="C34" s="29">
        <f t="shared" si="0"/>
        <v>0.16</v>
      </c>
      <c r="D34" s="30">
        <v>0.16</v>
      </c>
      <c r="E34" s="30">
        <f t="shared" si="1"/>
        <v>0.11</v>
      </c>
      <c r="F34" s="30">
        <f t="shared" si="2"/>
        <v>0.05</v>
      </c>
      <c r="G34" s="30">
        <v>0</v>
      </c>
    </row>
    <row r="35" spans="2:7" x14ac:dyDescent="0.25">
      <c r="B35" s="28">
        <v>12</v>
      </c>
      <c r="C35" s="29">
        <f t="shared" si="0"/>
        <v>0.17</v>
      </c>
      <c r="D35" s="30">
        <v>0.17</v>
      </c>
      <c r="E35" s="30">
        <f t="shared" si="1"/>
        <v>0.11</v>
      </c>
      <c r="F35" s="30">
        <f t="shared" si="2"/>
        <v>0.06</v>
      </c>
      <c r="G35" s="30">
        <v>0</v>
      </c>
    </row>
    <row r="36" spans="2:7" x14ac:dyDescent="0.25">
      <c r="B36" s="28">
        <v>13</v>
      </c>
      <c r="C36" s="29">
        <f t="shared" si="0"/>
        <v>0.18</v>
      </c>
      <c r="D36" s="30">
        <v>0.18</v>
      </c>
      <c r="E36" s="30">
        <f t="shared" si="1"/>
        <v>0.12</v>
      </c>
      <c r="F36" s="30">
        <f t="shared" si="2"/>
        <v>0.06</v>
      </c>
      <c r="G36" s="30">
        <v>0</v>
      </c>
    </row>
    <row r="37" spans="2:7" x14ac:dyDescent="0.25">
      <c r="B37" s="28">
        <v>14</v>
      </c>
      <c r="C37" s="29">
        <f t="shared" si="0"/>
        <v>0.2</v>
      </c>
      <c r="D37" s="30">
        <v>0.2</v>
      </c>
      <c r="E37" s="30">
        <f t="shared" si="1"/>
        <v>0.13</v>
      </c>
      <c r="F37" s="30">
        <f t="shared" si="2"/>
        <v>7.0000000000000007E-2</v>
      </c>
      <c r="G37" s="30">
        <v>0</v>
      </c>
    </row>
    <row r="38" spans="2:7" x14ac:dyDescent="0.25">
      <c r="B38" s="28">
        <v>15</v>
      </c>
      <c r="C38" s="29">
        <f t="shared" si="0"/>
        <v>0.21</v>
      </c>
      <c r="D38" s="30">
        <v>0.21</v>
      </c>
      <c r="E38" s="30">
        <f t="shared" si="1"/>
        <v>0.14000000000000001</v>
      </c>
      <c r="F38" s="30">
        <f t="shared" si="2"/>
        <v>7.0000000000000007E-2</v>
      </c>
      <c r="G38" s="30">
        <v>0</v>
      </c>
    </row>
    <row r="39" spans="2:7" x14ac:dyDescent="0.25">
      <c r="B39" s="28">
        <v>16</v>
      </c>
      <c r="C39" s="29">
        <f t="shared" si="0"/>
        <v>0.22</v>
      </c>
      <c r="D39" s="30">
        <v>0.22</v>
      </c>
      <c r="E39" s="30">
        <f t="shared" si="1"/>
        <v>0.15</v>
      </c>
      <c r="F39" s="30">
        <f t="shared" si="2"/>
        <v>7.0000000000000007E-2</v>
      </c>
      <c r="G39" s="30">
        <v>0</v>
      </c>
    </row>
    <row r="40" spans="2:7" x14ac:dyDescent="0.25">
      <c r="B40" s="28">
        <v>17</v>
      </c>
      <c r="C40" s="29">
        <f t="shared" si="0"/>
        <v>0.23</v>
      </c>
      <c r="D40" s="30">
        <v>0.23</v>
      </c>
      <c r="E40" s="30">
        <f t="shared" si="1"/>
        <v>0.15</v>
      </c>
      <c r="F40" s="30">
        <f t="shared" si="2"/>
        <v>0.08</v>
      </c>
      <c r="G40" s="30">
        <v>0</v>
      </c>
    </row>
    <row r="41" spans="2:7" x14ac:dyDescent="0.25">
      <c r="B41" s="28">
        <v>18</v>
      </c>
      <c r="C41" s="29">
        <f t="shared" si="0"/>
        <v>0.24</v>
      </c>
      <c r="D41" s="30">
        <v>0.24</v>
      </c>
      <c r="E41" s="30">
        <f t="shared" si="1"/>
        <v>0.16</v>
      </c>
      <c r="F41" s="30">
        <f t="shared" si="2"/>
        <v>0.08</v>
      </c>
      <c r="G41" s="30">
        <v>0</v>
      </c>
    </row>
    <row r="42" spans="2:7" x14ac:dyDescent="0.25">
      <c r="B42" s="28">
        <v>19</v>
      </c>
      <c r="C42" s="29">
        <f t="shared" si="0"/>
        <v>0.26</v>
      </c>
      <c r="D42" s="30">
        <v>0.26</v>
      </c>
      <c r="E42" s="30">
        <f t="shared" si="1"/>
        <v>0.17</v>
      </c>
      <c r="F42" s="30">
        <f t="shared" si="2"/>
        <v>0.09</v>
      </c>
      <c r="G42" s="30">
        <v>0</v>
      </c>
    </row>
    <row r="43" spans="2:7" x14ac:dyDescent="0.25">
      <c r="B43" s="28">
        <v>20</v>
      </c>
      <c r="C43" s="29">
        <f t="shared" si="0"/>
        <v>0.27</v>
      </c>
      <c r="D43" s="30">
        <v>0.27</v>
      </c>
      <c r="E43" s="30">
        <f t="shared" si="1"/>
        <v>0.18</v>
      </c>
      <c r="F43" s="30">
        <f t="shared" si="2"/>
        <v>0.09</v>
      </c>
      <c r="G43" s="30">
        <v>0</v>
      </c>
    </row>
    <row r="44" spans="2:7" x14ac:dyDescent="0.25">
      <c r="B44" s="28">
        <v>21</v>
      </c>
      <c r="C44" s="29">
        <f t="shared" si="0"/>
        <v>0.28000000000000003</v>
      </c>
      <c r="D44" s="30">
        <v>0.28000000000000003</v>
      </c>
      <c r="E44" s="30">
        <f t="shared" si="1"/>
        <v>0.19</v>
      </c>
      <c r="F44" s="30">
        <f t="shared" si="2"/>
        <v>0.09</v>
      </c>
      <c r="G44" s="30">
        <v>0</v>
      </c>
    </row>
    <row r="45" spans="2:7" x14ac:dyDescent="0.25">
      <c r="B45" s="28">
        <v>22</v>
      </c>
      <c r="C45" s="29">
        <f t="shared" si="0"/>
        <v>0.28999999999999998</v>
      </c>
      <c r="D45" s="30">
        <v>0.28999999999999998</v>
      </c>
      <c r="E45" s="30">
        <f t="shared" si="1"/>
        <v>0.19</v>
      </c>
      <c r="F45" s="30">
        <f t="shared" si="2"/>
        <v>0.1</v>
      </c>
      <c r="G45" s="30">
        <v>0</v>
      </c>
    </row>
    <row r="46" spans="2:7" x14ac:dyDescent="0.25">
      <c r="B46" s="28">
        <v>23</v>
      </c>
      <c r="C46" s="29">
        <f t="shared" si="0"/>
        <v>0.3</v>
      </c>
      <c r="D46" s="30">
        <v>0.3</v>
      </c>
      <c r="E46" s="30">
        <f t="shared" si="1"/>
        <v>0.2</v>
      </c>
      <c r="F46" s="30">
        <f t="shared" si="2"/>
        <v>0.1</v>
      </c>
      <c r="G46" s="30">
        <v>0</v>
      </c>
    </row>
    <row r="47" spans="2:7" x14ac:dyDescent="0.25">
      <c r="B47" s="28">
        <v>24</v>
      </c>
      <c r="C47" s="29">
        <f t="shared" si="0"/>
        <v>0.31</v>
      </c>
      <c r="D47" s="30">
        <v>0.31</v>
      </c>
      <c r="E47" s="30">
        <f t="shared" si="1"/>
        <v>0.21</v>
      </c>
      <c r="F47" s="30">
        <f t="shared" si="2"/>
        <v>0.1</v>
      </c>
      <c r="G47" s="30">
        <v>0</v>
      </c>
    </row>
    <row r="48" spans="2:7" x14ac:dyDescent="0.25">
      <c r="B48" s="28">
        <v>25</v>
      </c>
      <c r="C48" s="29">
        <f t="shared" si="0"/>
        <v>0.32</v>
      </c>
      <c r="D48" s="30">
        <v>0.32</v>
      </c>
      <c r="E48" s="30">
        <f t="shared" si="1"/>
        <v>0.21</v>
      </c>
      <c r="F48" s="30">
        <f t="shared" si="2"/>
        <v>0.11</v>
      </c>
      <c r="G48" s="30">
        <v>0</v>
      </c>
    </row>
    <row r="49" spans="2:7" x14ac:dyDescent="0.25">
      <c r="B49" s="28">
        <v>26</v>
      </c>
      <c r="C49" s="29">
        <f t="shared" si="0"/>
        <v>0.33</v>
      </c>
      <c r="D49" s="30">
        <v>0.33</v>
      </c>
      <c r="E49" s="30">
        <f t="shared" si="1"/>
        <v>0.22</v>
      </c>
      <c r="F49" s="30">
        <f t="shared" si="2"/>
        <v>0.11</v>
      </c>
      <c r="G49" s="30">
        <v>0</v>
      </c>
    </row>
    <row r="50" spans="2:7" x14ac:dyDescent="0.25">
      <c r="B50" s="28">
        <v>27</v>
      </c>
      <c r="C50" s="29">
        <f t="shared" si="0"/>
        <v>0.34</v>
      </c>
      <c r="D50" s="30">
        <v>0.34</v>
      </c>
      <c r="E50" s="30">
        <f t="shared" si="1"/>
        <v>0.23</v>
      </c>
      <c r="F50" s="30">
        <f t="shared" si="2"/>
        <v>0.11</v>
      </c>
      <c r="G50" s="30">
        <v>0</v>
      </c>
    </row>
    <row r="51" spans="2:7" x14ac:dyDescent="0.25">
      <c r="B51" s="28">
        <v>28</v>
      </c>
      <c r="C51" s="29">
        <f t="shared" si="0"/>
        <v>0.35</v>
      </c>
      <c r="D51" s="30">
        <v>0.35</v>
      </c>
      <c r="E51" s="30">
        <f t="shared" si="1"/>
        <v>0.23</v>
      </c>
      <c r="F51" s="30">
        <f t="shared" si="2"/>
        <v>0.12</v>
      </c>
      <c r="G51" s="30">
        <v>0</v>
      </c>
    </row>
    <row r="52" spans="2:7" x14ac:dyDescent="0.25">
      <c r="B52" s="28">
        <v>29</v>
      </c>
      <c r="C52" s="29">
        <f t="shared" si="0"/>
        <v>0.36</v>
      </c>
      <c r="D52" s="30">
        <v>0.36</v>
      </c>
      <c r="E52" s="30">
        <f t="shared" si="1"/>
        <v>0.24</v>
      </c>
      <c r="F52" s="30">
        <f t="shared" si="2"/>
        <v>0.12</v>
      </c>
      <c r="G52" s="30">
        <v>0</v>
      </c>
    </row>
    <row r="53" spans="2:7" x14ac:dyDescent="0.25">
      <c r="B53" s="28">
        <v>30</v>
      </c>
      <c r="C53" s="29">
        <f t="shared" si="0"/>
        <v>0.37</v>
      </c>
      <c r="D53" s="30">
        <v>0.37</v>
      </c>
      <c r="E53" s="30">
        <f t="shared" si="1"/>
        <v>0.25</v>
      </c>
      <c r="F53" s="30">
        <f t="shared" si="2"/>
        <v>0.12</v>
      </c>
      <c r="G53" s="30">
        <v>0</v>
      </c>
    </row>
    <row r="54" spans="2:7" x14ac:dyDescent="0.25">
      <c r="B54" s="28">
        <v>31</v>
      </c>
      <c r="C54" s="29">
        <f t="shared" si="0"/>
        <v>0.38</v>
      </c>
      <c r="D54" s="30">
        <v>0.38</v>
      </c>
      <c r="E54" s="30">
        <f t="shared" si="1"/>
        <v>0.25</v>
      </c>
      <c r="F54" s="30">
        <f t="shared" si="2"/>
        <v>0.13</v>
      </c>
      <c r="G54" s="30">
        <v>0</v>
      </c>
    </row>
    <row r="55" spans="2:7" x14ac:dyDescent="0.25">
      <c r="B55" s="28">
        <v>32</v>
      </c>
      <c r="C55" s="29">
        <f t="shared" si="0"/>
        <v>0.39</v>
      </c>
      <c r="D55" s="30">
        <v>0.39</v>
      </c>
      <c r="E55" s="30">
        <f t="shared" si="1"/>
        <v>0.26</v>
      </c>
      <c r="F55" s="30">
        <f t="shared" si="2"/>
        <v>0.13</v>
      </c>
      <c r="G55" s="30">
        <v>0</v>
      </c>
    </row>
    <row r="56" spans="2:7" x14ac:dyDescent="0.25">
      <c r="B56" s="28">
        <v>33</v>
      </c>
      <c r="C56" s="29">
        <f t="shared" si="0"/>
        <v>0.4</v>
      </c>
      <c r="D56" s="30">
        <v>0.4</v>
      </c>
      <c r="E56" s="30">
        <f t="shared" si="1"/>
        <v>0.27</v>
      </c>
      <c r="F56" s="30">
        <f t="shared" si="2"/>
        <v>0.13</v>
      </c>
      <c r="G56" s="30">
        <v>0</v>
      </c>
    </row>
    <row r="57" spans="2:7" x14ac:dyDescent="0.25">
      <c r="B57" s="28">
        <v>34</v>
      </c>
      <c r="C57" s="29">
        <f t="shared" si="0"/>
        <v>0.41</v>
      </c>
      <c r="D57" s="30">
        <v>0.41</v>
      </c>
      <c r="E57" s="30">
        <f t="shared" si="1"/>
        <v>0.27</v>
      </c>
      <c r="F57" s="30">
        <f t="shared" si="2"/>
        <v>0.14000000000000001</v>
      </c>
      <c r="G57" s="30">
        <v>0</v>
      </c>
    </row>
    <row r="58" spans="2:7" x14ac:dyDescent="0.25">
      <c r="B58" s="28">
        <v>35</v>
      </c>
      <c r="C58" s="29">
        <f t="shared" si="0"/>
        <v>0.42</v>
      </c>
      <c r="D58" s="30">
        <v>0.42</v>
      </c>
      <c r="E58" s="30">
        <f t="shared" si="1"/>
        <v>0.28000000000000003</v>
      </c>
      <c r="F58" s="30">
        <f t="shared" si="2"/>
        <v>0.14000000000000001</v>
      </c>
      <c r="G58" s="30">
        <v>0</v>
      </c>
    </row>
    <row r="59" spans="2:7" x14ac:dyDescent="0.25">
      <c r="B59" s="28">
        <v>36</v>
      </c>
      <c r="C59" s="29">
        <f t="shared" si="0"/>
        <v>0.43</v>
      </c>
      <c r="D59" s="30">
        <v>0.43</v>
      </c>
      <c r="E59" s="30">
        <f t="shared" si="1"/>
        <v>0.28999999999999998</v>
      </c>
      <c r="F59" s="30">
        <f t="shared" si="2"/>
        <v>0.14000000000000001</v>
      </c>
      <c r="G59" s="30">
        <v>0</v>
      </c>
    </row>
    <row r="60" spans="2:7" x14ac:dyDescent="0.25">
      <c r="B60" s="28">
        <v>37</v>
      </c>
      <c r="C60" s="29">
        <f t="shared" si="0"/>
        <v>0.44</v>
      </c>
      <c r="D60" s="30">
        <v>0.44</v>
      </c>
      <c r="E60" s="30">
        <f t="shared" si="1"/>
        <v>0.28999999999999998</v>
      </c>
      <c r="F60" s="30">
        <f t="shared" si="2"/>
        <v>0.15</v>
      </c>
      <c r="G60" s="30">
        <v>0</v>
      </c>
    </row>
    <row r="61" spans="2:7" x14ac:dyDescent="0.25">
      <c r="B61" s="28">
        <v>38</v>
      </c>
      <c r="C61" s="29">
        <f t="shared" si="0"/>
        <v>0.45</v>
      </c>
      <c r="D61" s="30">
        <v>0.45</v>
      </c>
      <c r="E61" s="30">
        <f t="shared" si="1"/>
        <v>0.3</v>
      </c>
      <c r="F61" s="30">
        <f t="shared" si="2"/>
        <v>0.15</v>
      </c>
      <c r="G61" s="30">
        <v>0</v>
      </c>
    </row>
    <row r="62" spans="2:7" x14ac:dyDescent="0.25">
      <c r="B62" s="28">
        <v>39</v>
      </c>
      <c r="C62" s="29">
        <f t="shared" si="0"/>
        <v>0.46</v>
      </c>
      <c r="D62" s="30">
        <v>0.46</v>
      </c>
      <c r="E62" s="30">
        <f t="shared" si="1"/>
        <v>0.31</v>
      </c>
      <c r="F62" s="30">
        <f t="shared" si="2"/>
        <v>0.15</v>
      </c>
      <c r="G62" s="30">
        <v>0</v>
      </c>
    </row>
    <row r="63" spans="2:7" x14ac:dyDescent="0.25">
      <c r="B63" s="28">
        <v>40</v>
      </c>
      <c r="C63" s="29">
        <f t="shared" si="0"/>
        <v>0.47</v>
      </c>
      <c r="D63" s="30">
        <v>0.47</v>
      </c>
      <c r="E63" s="30">
        <f t="shared" si="1"/>
        <v>0.31</v>
      </c>
      <c r="F63" s="30">
        <f t="shared" si="2"/>
        <v>0.16</v>
      </c>
      <c r="G63" s="30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29"/>
  <sheetViews>
    <sheetView workbookViewId="0">
      <selection activeCell="C14" sqref="C14"/>
    </sheetView>
  </sheetViews>
  <sheetFormatPr defaultRowHeight="15" x14ac:dyDescent="0.25"/>
  <sheetData>
    <row r="1" spans="1:18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x14ac:dyDescent="0.25">
      <c r="A3" s="14"/>
      <c r="B3" s="15" t="s">
        <v>7</v>
      </c>
      <c r="C3" s="15"/>
      <c r="D3" s="15"/>
      <c r="E3" s="15" t="s">
        <v>16</v>
      </c>
      <c r="F3" s="15"/>
      <c r="G3" s="15"/>
      <c r="H3" s="15" t="s">
        <v>7</v>
      </c>
      <c r="I3" s="15"/>
      <c r="J3" s="15"/>
      <c r="K3" s="15" t="s">
        <v>7</v>
      </c>
      <c r="L3" s="15"/>
      <c r="M3" s="15"/>
      <c r="N3" s="15"/>
      <c r="O3" s="15"/>
      <c r="P3" s="16" t="s">
        <v>28</v>
      </c>
      <c r="Q3" s="15"/>
      <c r="R3" s="14"/>
    </row>
    <row r="4" spans="1:18" x14ac:dyDescent="0.25">
      <c r="A4" s="14"/>
      <c r="B4" s="15" t="s">
        <v>18</v>
      </c>
      <c r="C4" s="15"/>
      <c r="D4" s="15"/>
      <c r="E4" s="15" t="s">
        <v>80</v>
      </c>
      <c r="F4" s="15"/>
      <c r="G4" s="15"/>
      <c r="H4" s="15" t="s">
        <v>8</v>
      </c>
      <c r="I4" s="15"/>
      <c r="J4" s="15"/>
      <c r="K4" s="15" t="s">
        <v>10</v>
      </c>
      <c r="L4" s="15"/>
      <c r="M4" s="15"/>
      <c r="N4" s="15"/>
      <c r="O4" s="15"/>
      <c r="P4" s="17">
        <v>1</v>
      </c>
      <c r="Q4" s="18" t="s">
        <v>4</v>
      </c>
      <c r="R4" s="14"/>
    </row>
    <row r="5" spans="1:18" x14ac:dyDescent="0.25">
      <c r="A5" s="14"/>
      <c r="B5" s="15" t="s">
        <v>19</v>
      </c>
      <c r="C5" s="15"/>
      <c r="D5" s="15"/>
      <c r="E5" s="15" t="s">
        <v>81</v>
      </c>
      <c r="F5" s="15"/>
      <c r="G5" s="15"/>
      <c r="H5" s="15" t="s">
        <v>9</v>
      </c>
      <c r="I5" s="15"/>
      <c r="J5" s="15"/>
      <c r="K5" s="15" t="s">
        <v>11</v>
      </c>
      <c r="L5" s="15"/>
      <c r="M5" s="15"/>
      <c r="N5" s="15"/>
      <c r="O5" s="15"/>
      <c r="P5" s="15"/>
      <c r="Q5" s="15"/>
      <c r="R5" s="14"/>
    </row>
    <row r="6" spans="1:18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4"/>
    </row>
    <row r="7" spans="1:18" x14ac:dyDescent="0.25">
      <c r="A7" s="14"/>
      <c r="B7" s="19"/>
      <c r="C7" s="15"/>
      <c r="D7" s="15"/>
      <c r="E7" s="20"/>
      <c r="F7" s="20"/>
      <c r="G7" s="20"/>
      <c r="H7" s="20"/>
      <c r="I7" s="20"/>
      <c r="J7" s="20"/>
      <c r="K7" s="20"/>
      <c r="L7" s="15"/>
      <c r="M7" s="15"/>
      <c r="N7" s="15"/>
      <c r="O7" s="15"/>
      <c r="P7" s="15"/>
      <c r="Q7" s="15"/>
      <c r="R7" s="14"/>
    </row>
    <row r="8" spans="1:18" x14ac:dyDescent="0.25">
      <c r="A8" s="14"/>
      <c r="B8" s="19" t="s">
        <v>21</v>
      </c>
      <c r="C8" s="15"/>
      <c r="D8" s="15" t="s">
        <v>29</v>
      </c>
      <c r="E8" s="21"/>
      <c r="F8" s="19" t="s">
        <v>35</v>
      </c>
      <c r="G8" s="15"/>
      <c r="H8" s="15" t="s">
        <v>31</v>
      </c>
      <c r="I8" s="15"/>
      <c r="J8" s="15"/>
      <c r="K8" s="15"/>
      <c r="L8" s="15" t="s">
        <v>7</v>
      </c>
      <c r="M8" s="15"/>
      <c r="N8" s="15"/>
      <c r="O8" s="15"/>
      <c r="P8" s="15"/>
      <c r="Q8" s="15"/>
      <c r="R8" s="14"/>
    </row>
    <row r="9" spans="1:18" x14ac:dyDescent="0.25">
      <c r="A9" s="14"/>
      <c r="B9" s="15" t="s">
        <v>23</v>
      </c>
      <c r="C9" s="152">
        <f>(IF('BTL ICR'!$O$25="Projected",'BTL ICR'!$I$25*90%, IF('BTL ICR'!$O$25="Actual",'BTL ICR'!$I$25,"")))</f>
        <v>1800</v>
      </c>
      <c r="D9" s="15">
        <f>(IF('BTL ICR'!$O$25="Projected",'BTL ICR'!$I$25*90%, IF('BTL ICR'!$O$25="Actual",'BTL ICR'!$I$25,"")))</f>
        <v>1800</v>
      </c>
      <c r="E9" s="15"/>
      <c r="F9" s="21">
        <v>1.25</v>
      </c>
      <c r="G9" s="15"/>
      <c r="H9" s="15" t="s">
        <v>10</v>
      </c>
      <c r="I9" s="15"/>
      <c r="J9" s="15"/>
      <c r="K9" s="15"/>
      <c r="L9" s="15" t="s">
        <v>92</v>
      </c>
      <c r="M9" s="15"/>
      <c r="N9" s="15"/>
      <c r="O9" s="15"/>
      <c r="P9" s="15"/>
      <c r="Q9" s="15"/>
      <c r="R9" s="14"/>
    </row>
    <row r="10" spans="1:18" x14ac:dyDescent="0.25">
      <c r="A10" s="14"/>
      <c r="B10" s="15" t="s">
        <v>24</v>
      </c>
      <c r="C10" s="149">
        <f>'BTL ICR'!T13+'BTL ICR'!I20</f>
        <v>2082.5</v>
      </c>
      <c r="D10" s="150">
        <f>'BTL ICR'!T15+'BTL ICR'!I20</f>
        <v>2082.5</v>
      </c>
      <c r="E10" s="15"/>
      <c r="F10" s="21">
        <v>1.45</v>
      </c>
      <c r="G10" s="15"/>
      <c r="H10" s="15" t="s">
        <v>11</v>
      </c>
      <c r="I10" s="15"/>
      <c r="J10" s="15"/>
      <c r="K10" s="15"/>
      <c r="L10" s="15" t="s">
        <v>93</v>
      </c>
      <c r="M10" s="15"/>
      <c r="N10" s="15"/>
      <c r="O10" s="15"/>
      <c r="P10" s="15"/>
      <c r="Q10" s="15"/>
      <c r="R10" s="14"/>
    </row>
    <row r="11" spans="1:18" x14ac:dyDescent="0.25">
      <c r="A11" s="14"/>
      <c r="B11" s="15"/>
      <c r="C11" s="151">
        <f>C9/C10</f>
        <v>0.86434573829531813</v>
      </c>
      <c r="D11" s="151">
        <f>D9/D10</f>
        <v>0.86434573829531813</v>
      </c>
      <c r="E11" s="15"/>
      <c r="F11" s="15"/>
      <c r="G11" s="15"/>
      <c r="H11" s="15"/>
      <c r="I11" s="15"/>
      <c r="J11" s="15"/>
      <c r="K11" s="15"/>
      <c r="L11" s="15" t="s">
        <v>94</v>
      </c>
      <c r="M11" s="15"/>
      <c r="N11" s="15"/>
      <c r="O11" s="15"/>
      <c r="P11" s="15"/>
      <c r="Q11" s="15"/>
      <c r="R11" s="14"/>
    </row>
    <row r="12" spans="1:18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4"/>
    </row>
    <row r="13" spans="1:18" x14ac:dyDescent="0.25">
      <c r="A13" s="14"/>
      <c r="B13" s="15"/>
      <c r="C13" s="15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4"/>
    </row>
    <row r="14" spans="1:18" x14ac:dyDescent="0.25">
      <c r="A14" s="14"/>
      <c r="B14" s="15"/>
      <c r="C14" s="15" t="s">
        <v>106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4"/>
    </row>
    <row r="15" spans="1:18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5">
      <c r="A18" s="14"/>
      <c r="B18" s="19" t="s">
        <v>82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5">
      <c r="A20" s="14"/>
      <c r="B20" s="22" t="s">
        <v>83</v>
      </c>
      <c r="C20" s="22"/>
      <c r="D20" s="22" t="s">
        <v>84</v>
      </c>
      <c r="E20" s="22"/>
      <c r="F20" s="22" t="s">
        <v>85</v>
      </c>
      <c r="G20" s="22"/>
      <c r="H20" s="22" t="s">
        <v>86</v>
      </c>
      <c r="I20" s="22"/>
      <c r="J20" s="22" t="s">
        <v>87</v>
      </c>
      <c r="K20" s="22"/>
      <c r="L20" s="14"/>
      <c r="M20" s="14"/>
      <c r="N20" s="14"/>
      <c r="O20" s="14"/>
      <c r="P20" s="14"/>
      <c r="Q20" s="14"/>
      <c r="R20" s="14"/>
    </row>
    <row r="21" spans="1:18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4"/>
      <c r="M21" s="14"/>
      <c r="N21" s="14"/>
      <c r="O21" s="14"/>
      <c r="P21" s="14"/>
      <c r="Q21" s="14"/>
      <c r="R21" s="14"/>
    </row>
    <row r="22" spans="1:18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4"/>
      <c r="M22" s="14"/>
      <c r="N22" s="14"/>
      <c r="O22" s="14"/>
      <c r="P22" s="14"/>
      <c r="Q22" s="14"/>
      <c r="R22" s="14"/>
    </row>
    <row r="23" spans="1:18" x14ac:dyDescent="0.25">
      <c r="A23" s="14"/>
      <c r="B23" s="23">
        <v>500</v>
      </c>
      <c r="C23" s="24" t="s">
        <v>88</v>
      </c>
      <c r="D23" s="20">
        <f>$B23*D24</f>
        <v>125</v>
      </c>
      <c r="E23" s="24" t="s">
        <v>88</v>
      </c>
      <c r="F23" s="20">
        <v>75</v>
      </c>
      <c r="G23" s="24" t="s">
        <v>89</v>
      </c>
      <c r="H23" s="23">
        <v>75</v>
      </c>
      <c r="I23" s="24" t="s">
        <v>90</v>
      </c>
      <c r="J23" s="23">
        <f>B23-D23-F23+H23</f>
        <v>375</v>
      </c>
      <c r="K23" s="15"/>
      <c r="L23" s="14"/>
      <c r="M23" s="14"/>
      <c r="N23" s="14"/>
      <c r="O23" s="14"/>
      <c r="P23" s="14"/>
      <c r="Q23" s="14"/>
      <c r="R23" s="14"/>
    </row>
    <row r="24" spans="1:18" x14ac:dyDescent="0.25">
      <c r="A24" s="14"/>
      <c r="B24" s="25"/>
      <c r="C24" s="24"/>
      <c r="D24" s="21">
        <v>0.25</v>
      </c>
      <c r="E24" s="24"/>
      <c r="F24" s="15"/>
      <c r="G24" s="24"/>
      <c r="H24" s="25"/>
      <c r="I24" s="24"/>
      <c r="J24" s="25"/>
      <c r="K24" s="15"/>
      <c r="L24" s="14"/>
      <c r="M24" s="14"/>
      <c r="N24" s="14"/>
      <c r="O24" s="14"/>
      <c r="P24" s="14"/>
      <c r="Q24" s="14"/>
      <c r="R24" s="14"/>
    </row>
    <row r="25" spans="1:18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6:K20"/>
  <sheetViews>
    <sheetView showGridLines="0" showRowColHeaders="0" workbookViewId="0">
      <selection activeCell="G14" sqref="G14:G15"/>
    </sheetView>
  </sheetViews>
  <sheetFormatPr defaultRowHeight="15" x14ac:dyDescent="0.25"/>
  <cols>
    <col min="3" max="3" width="29.42578125" customWidth="1"/>
    <col min="5" max="5" width="11.42578125" style="124" customWidth="1"/>
    <col min="6" max="6" width="12.140625" customWidth="1"/>
    <col min="7" max="7" width="6.85546875" customWidth="1"/>
    <col min="9" max="9" width="47.85546875" customWidth="1"/>
    <col min="10" max="10" width="12.7109375" customWidth="1"/>
  </cols>
  <sheetData>
    <row r="6" spans="2:11" ht="15.75" thickBot="1" x14ac:dyDescent="0.3"/>
    <row r="7" spans="2:11" s="126" customFormat="1" ht="21" customHeight="1" thickBot="1" x14ac:dyDescent="0.3">
      <c r="B7" s="308" t="s">
        <v>66</v>
      </c>
      <c r="C7" s="309"/>
      <c r="D7" s="309"/>
      <c r="E7" s="309"/>
      <c r="F7" s="310"/>
      <c r="G7" s="125"/>
      <c r="H7" s="311" t="s">
        <v>67</v>
      </c>
      <c r="I7" s="312"/>
      <c r="J7" s="312"/>
      <c r="K7" s="313"/>
    </row>
    <row r="8" spans="2:11" x14ac:dyDescent="0.25">
      <c r="B8" s="45"/>
      <c r="C8" s="127"/>
      <c r="D8" s="127"/>
      <c r="E8" s="128"/>
      <c r="F8" s="129"/>
      <c r="H8" s="130"/>
      <c r="I8" s="127"/>
      <c r="J8" s="127"/>
      <c r="K8" s="129"/>
    </row>
    <row r="9" spans="2:11" x14ac:dyDescent="0.25">
      <c r="B9" s="45"/>
      <c r="C9" s="127" t="s">
        <v>17</v>
      </c>
      <c r="D9" s="131" t="s">
        <v>0</v>
      </c>
      <c r="E9" s="142">
        <v>1000</v>
      </c>
      <c r="F9" s="129"/>
      <c r="H9" s="130"/>
      <c r="I9" s="127" t="s">
        <v>68</v>
      </c>
      <c r="J9" s="143">
        <v>100000</v>
      </c>
      <c r="K9" s="129"/>
    </row>
    <row r="10" spans="2:11" x14ac:dyDescent="0.25">
      <c r="B10" s="45"/>
      <c r="C10" s="127"/>
      <c r="D10" s="127"/>
      <c r="E10" s="128"/>
      <c r="F10" s="129"/>
      <c r="H10" s="130"/>
      <c r="I10" s="127"/>
      <c r="J10" s="128"/>
      <c r="K10" s="129"/>
    </row>
    <row r="11" spans="2:11" x14ac:dyDescent="0.25">
      <c r="B11" s="45"/>
      <c r="C11" s="127" t="s">
        <v>64</v>
      </c>
      <c r="D11" s="131" t="s">
        <v>0</v>
      </c>
      <c r="E11" s="142">
        <v>60</v>
      </c>
      <c r="F11" s="129"/>
      <c r="H11" s="130"/>
      <c r="I11" s="132" t="s">
        <v>69</v>
      </c>
      <c r="J11" s="133">
        <f>J9*0.002</f>
        <v>200</v>
      </c>
      <c r="K11" s="129"/>
    </row>
    <row r="12" spans="2:11" x14ac:dyDescent="0.25">
      <c r="B12" s="45"/>
      <c r="C12" s="127"/>
      <c r="D12" s="127"/>
      <c r="E12" s="128"/>
      <c r="F12" s="129"/>
      <c r="H12" s="130"/>
      <c r="I12" s="127"/>
      <c r="J12" s="127"/>
      <c r="K12" s="129"/>
    </row>
    <row r="13" spans="2:11" x14ac:dyDescent="0.25">
      <c r="B13" s="45"/>
      <c r="C13" s="127" t="s">
        <v>65</v>
      </c>
      <c r="D13" s="131" t="s">
        <v>0</v>
      </c>
      <c r="E13" s="142">
        <v>20</v>
      </c>
      <c r="F13" s="129"/>
      <c r="H13" s="130"/>
      <c r="I13" s="141" t="s">
        <v>71</v>
      </c>
      <c r="J13" s="127"/>
      <c r="K13" s="129"/>
    </row>
    <row r="14" spans="2:11" x14ac:dyDescent="0.25">
      <c r="B14" s="45"/>
      <c r="C14" s="127"/>
      <c r="D14" s="127"/>
      <c r="E14" s="128"/>
      <c r="F14" s="129"/>
      <c r="H14" s="130"/>
      <c r="I14" s="127"/>
      <c r="J14" s="127"/>
      <c r="K14" s="129"/>
    </row>
    <row r="15" spans="2:11" x14ac:dyDescent="0.25">
      <c r="B15" s="45"/>
      <c r="C15" s="127" t="s">
        <v>70</v>
      </c>
      <c r="D15" s="131" t="s">
        <v>0</v>
      </c>
      <c r="E15" s="133">
        <f>E9-(E11+E13)</f>
        <v>920</v>
      </c>
      <c r="F15" s="129"/>
      <c r="H15" s="130"/>
      <c r="I15" s="127"/>
      <c r="J15" s="127"/>
      <c r="K15" s="129"/>
    </row>
    <row r="16" spans="2:11" ht="15.75" thickBot="1" x14ac:dyDescent="0.3">
      <c r="B16" s="55"/>
      <c r="C16" s="134"/>
      <c r="D16" s="134"/>
      <c r="E16" s="135"/>
      <c r="F16" s="136"/>
      <c r="H16" s="137"/>
      <c r="I16" s="134"/>
      <c r="J16" s="134"/>
      <c r="K16" s="136"/>
    </row>
    <row r="20" spans="7:8" x14ac:dyDescent="0.25">
      <c r="G20" s="138"/>
      <c r="H20" s="139"/>
    </row>
  </sheetData>
  <sheetProtection selectLockedCells="1"/>
  <mergeCells count="2">
    <mergeCell ref="B7:F7"/>
    <mergeCell ref="H7:K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BA62"/>
  <sheetViews>
    <sheetView showGridLines="0" showRowColHeaders="0" topLeftCell="A4" zoomScale="80" zoomScaleNormal="80" workbookViewId="0">
      <selection activeCell="I56" sqref="I56"/>
    </sheetView>
  </sheetViews>
  <sheetFormatPr defaultColWidth="9.140625" defaultRowHeight="15" x14ac:dyDescent="0.25"/>
  <cols>
    <col min="1" max="1" width="12.7109375" style="67" customWidth="1"/>
    <col min="2" max="2" width="3.5703125" style="37" customWidth="1"/>
    <col min="3" max="10" width="10.140625" style="37" customWidth="1"/>
    <col min="11" max="11" width="11" style="37" bestFit="1" customWidth="1"/>
    <col min="12" max="19" width="10.140625" style="37" customWidth="1"/>
    <col min="20" max="20" width="4.85546875" style="37" customWidth="1"/>
    <col min="21" max="22" width="10.140625" style="37" customWidth="1"/>
    <col min="23" max="23" width="4.85546875" style="37" customWidth="1"/>
    <col min="24" max="25" width="10.140625" style="37" customWidth="1"/>
    <col min="26" max="26" width="4.28515625" style="37" customWidth="1"/>
    <col min="27" max="27" width="2.28515625" style="37" customWidth="1"/>
    <col min="28" max="28" width="9.140625" style="37" customWidth="1"/>
    <col min="29" max="29" width="21.140625" style="39" customWidth="1"/>
    <col min="30" max="30" width="12.7109375" style="37" customWidth="1"/>
    <col min="31" max="31" width="19.85546875" style="37" customWidth="1"/>
    <col min="32" max="32" width="3.85546875" style="37" customWidth="1"/>
    <col min="33" max="33" width="19.28515625" style="37" customWidth="1"/>
    <col min="34" max="34" width="14" style="37" customWidth="1"/>
    <col min="35" max="35" width="11.28515625" style="37" customWidth="1"/>
    <col min="36" max="36" width="12.140625" style="37" customWidth="1"/>
    <col min="37" max="38" width="15.7109375" style="37" customWidth="1"/>
    <col min="39" max="40" width="9.140625" style="37" customWidth="1"/>
    <col min="41" max="41" width="13.85546875" style="37" customWidth="1"/>
    <col min="42" max="43" width="9.140625" style="37" customWidth="1"/>
    <col min="44" max="44" width="11" style="37" customWidth="1"/>
    <col min="45" max="45" width="11.5703125" style="37" customWidth="1"/>
    <col min="46" max="47" width="11" style="37" customWidth="1"/>
    <col min="48" max="50" width="10.85546875" style="37" customWidth="1"/>
    <col min="51" max="53" width="11" style="40" customWidth="1"/>
    <col min="54" max="54" width="14.5703125" style="37" customWidth="1"/>
    <col min="55" max="56" width="9.140625" style="37" customWidth="1"/>
    <col min="57" max="58" width="10.42578125" style="37" customWidth="1"/>
    <col min="59" max="59" width="9.140625" style="37" customWidth="1"/>
    <col min="60" max="60" width="11.28515625" style="37" customWidth="1"/>
    <col min="61" max="61" width="10.140625" style="37" customWidth="1"/>
    <col min="62" max="105" width="9.140625" style="37" customWidth="1"/>
    <col min="106" max="16384" width="9.140625" style="37"/>
  </cols>
  <sheetData>
    <row r="1" spans="1:53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70"/>
      <c r="AD1" s="67"/>
      <c r="AE1" s="67"/>
      <c r="AF1" s="67"/>
      <c r="AG1" s="67"/>
      <c r="AH1" s="67"/>
      <c r="AI1" s="67"/>
      <c r="AJ1" s="67"/>
      <c r="AK1" s="67"/>
    </row>
    <row r="2" spans="1:53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70"/>
      <c r="AD2" s="67"/>
      <c r="AE2" s="67"/>
      <c r="AF2" s="67"/>
      <c r="AG2" s="67"/>
      <c r="AH2" s="67"/>
      <c r="AI2" s="67"/>
      <c r="AJ2" s="67"/>
      <c r="AK2" s="67"/>
    </row>
    <row r="3" spans="1:53" x14ac:dyDescent="0.2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70"/>
      <c r="AD3" s="67"/>
      <c r="AE3" s="67"/>
      <c r="AF3" s="67"/>
      <c r="AG3" s="67"/>
      <c r="AH3" s="67"/>
      <c r="AI3" s="67"/>
      <c r="AJ3" s="67"/>
      <c r="AK3" s="67"/>
    </row>
    <row r="4" spans="1:53" x14ac:dyDescent="0.2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70"/>
      <c r="AD4" s="67"/>
      <c r="AE4" s="67"/>
      <c r="AF4" s="67"/>
      <c r="AG4" s="67"/>
      <c r="AH4" s="67"/>
      <c r="AI4" s="67"/>
      <c r="AJ4" s="67"/>
      <c r="AK4" s="67"/>
    </row>
    <row r="5" spans="1:53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70"/>
      <c r="AD5" s="67"/>
      <c r="AE5" s="67"/>
      <c r="AF5" s="67"/>
      <c r="AG5" s="67"/>
      <c r="AH5" s="67"/>
      <c r="AI5" s="67"/>
      <c r="AJ5" s="67"/>
      <c r="AK5" s="67"/>
    </row>
    <row r="6" spans="1:53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70"/>
      <c r="AD6" s="67"/>
      <c r="AE6" s="67"/>
      <c r="AF6" s="67"/>
      <c r="AG6" s="67"/>
      <c r="AH6" s="67"/>
      <c r="AI6" s="67"/>
      <c r="AJ6" s="67"/>
      <c r="AK6" s="67"/>
    </row>
    <row r="7" spans="1:53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70"/>
      <c r="AD7" s="67"/>
      <c r="AE7" s="67"/>
      <c r="AF7" s="67"/>
      <c r="AG7" s="67"/>
      <c r="AH7" s="67"/>
      <c r="AI7" s="67"/>
      <c r="AJ7" s="67"/>
      <c r="AK7" s="67"/>
    </row>
    <row r="8" spans="1:53" ht="6.75" customHeight="1" x14ac:dyDescent="0.25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73"/>
      <c r="AD8" s="86"/>
      <c r="AE8" s="74"/>
      <c r="AF8" s="67"/>
      <c r="AG8" s="67"/>
      <c r="AH8" s="67"/>
      <c r="AI8" s="67"/>
      <c r="AJ8" s="67"/>
      <c r="AK8" s="67"/>
    </row>
    <row r="9" spans="1:53" ht="6" customHeight="1" thickBot="1" x14ac:dyDescent="0.3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70"/>
      <c r="AD9" s="67"/>
      <c r="AE9" s="67"/>
      <c r="AF9" s="67"/>
      <c r="AG9" s="67"/>
      <c r="AH9" s="67"/>
      <c r="AI9" s="67"/>
      <c r="AJ9" s="67"/>
      <c r="AK9" s="67"/>
    </row>
    <row r="10" spans="1:53" s="38" customFormat="1" ht="21.75" customHeight="1" x14ac:dyDescent="0.25">
      <c r="A10" s="68"/>
      <c r="B10" s="221" t="s">
        <v>12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3"/>
      <c r="AA10" s="68"/>
      <c r="AB10" s="68"/>
      <c r="AC10" s="69"/>
      <c r="AD10" s="68"/>
      <c r="AE10" s="68"/>
      <c r="AF10" s="68"/>
      <c r="AG10" s="68"/>
      <c r="AH10" s="68"/>
      <c r="AI10" s="68"/>
      <c r="AJ10" s="68"/>
      <c r="AK10" s="68"/>
      <c r="AL10" s="68"/>
      <c r="AY10" s="41"/>
      <c r="AZ10" s="41"/>
      <c r="BA10" s="41"/>
    </row>
    <row r="11" spans="1:53" ht="9" customHeight="1" x14ac:dyDescent="0.25">
      <c r="B11" s="45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6"/>
      <c r="AA11" s="67"/>
      <c r="AB11" s="67"/>
      <c r="AC11" s="70"/>
      <c r="AD11" s="71"/>
      <c r="AE11" s="71"/>
      <c r="AF11" s="71"/>
      <c r="AG11" s="67"/>
      <c r="AH11" s="67"/>
      <c r="AI11" s="67"/>
      <c r="AJ11" s="68"/>
      <c r="AK11" s="68"/>
      <c r="AL11" s="68"/>
    </row>
    <row r="12" spans="1:53" s="38" customFormat="1" ht="24.75" customHeight="1" x14ac:dyDescent="0.25">
      <c r="A12" s="68"/>
      <c r="B12" s="78"/>
      <c r="C12" s="47" t="s">
        <v>15</v>
      </c>
      <c r="D12" s="52"/>
      <c r="E12" s="49"/>
      <c r="F12" s="49"/>
      <c r="G12" s="49"/>
      <c r="H12" s="50" t="s">
        <v>0</v>
      </c>
      <c r="I12" s="224">
        <v>250000</v>
      </c>
      <c r="J12" s="225"/>
      <c r="K12" s="225"/>
      <c r="L12" s="225"/>
      <c r="M12" s="226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79"/>
      <c r="AA12" s="68"/>
      <c r="AB12" s="68"/>
      <c r="AC12" s="68"/>
      <c r="AD12" s="68"/>
      <c r="AE12" s="68"/>
      <c r="AF12" s="72"/>
      <c r="AG12" s="87"/>
      <c r="AH12" s="69"/>
      <c r="AI12" s="68"/>
      <c r="AJ12" s="68"/>
      <c r="AK12" s="68"/>
      <c r="AL12" s="68"/>
      <c r="AY12" s="41"/>
      <c r="AZ12" s="41"/>
      <c r="BA12" s="41"/>
    </row>
    <row r="13" spans="1:53" s="38" customFormat="1" ht="9" customHeight="1" x14ac:dyDescent="0.25">
      <c r="A13" s="68"/>
      <c r="B13" s="78"/>
      <c r="C13" s="52"/>
      <c r="D13" s="52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79"/>
      <c r="AA13" s="68"/>
      <c r="AB13" s="68"/>
      <c r="AC13" s="69"/>
      <c r="AD13" s="68"/>
      <c r="AE13" s="68"/>
      <c r="AF13" s="68"/>
      <c r="AG13" s="68"/>
      <c r="AH13" s="68"/>
      <c r="AI13" s="68"/>
      <c r="AJ13" s="68"/>
      <c r="AK13" s="68"/>
      <c r="AL13" s="68"/>
      <c r="AY13" s="41"/>
      <c r="AZ13" s="41"/>
      <c r="BA13" s="41"/>
    </row>
    <row r="14" spans="1:53" s="38" customFormat="1" ht="24.75" customHeight="1" x14ac:dyDescent="0.25">
      <c r="A14" s="68"/>
      <c r="B14" s="78"/>
      <c r="C14" s="47" t="s">
        <v>2</v>
      </c>
      <c r="D14" s="52"/>
      <c r="E14" s="49"/>
      <c r="F14" s="49"/>
      <c r="G14" s="49"/>
      <c r="H14" s="49"/>
      <c r="I14" s="227">
        <v>120</v>
      </c>
      <c r="J14" s="228"/>
      <c r="K14" s="228"/>
      <c r="L14" s="228"/>
      <c r="M14" s="229"/>
      <c r="N14" s="49" t="s">
        <v>5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79"/>
      <c r="AA14" s="68"/>
      <c r="AB14" s="68"/>
      <c r="AC14" s="86"/>
      <c r="AD14" s="86"/>
      <c r="AE14" s="88"/>
      <c r="AF14" s="72"/>
      <c r="AG14" s="89"/>
      <c r="AH14" s="68"/>
      <c r="AI14" s="68"/>
      <c r="AJ14" s="68"/>
      <c r="AK14" s="68"/>
      <c r="AL14" s="68"/>
      <c r="AY14" s="41"/>
      <c r="AZ14" s="41"/>
      <c r="BA14" s="41"/>
    </row>
    <row r="15" spans="1:53" s="38" customFormat="1" ht="9" customHeight="1" x14ac:dyDescent="0.25">
      <c r="A15" s="68"/>
      <c r="B15" s="78"/>
      <c r="C15" s="52"/>
      <c r="D15" s="52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79"/>
      <c r="AA15" s="68"/>
      <c r="AB15" s="68"/>
      <c r="AC15" s="69"/>
      <c r="AD15" s="68"/>
      <c r="AE15" s="68"/>
      <c r="AF15" s="68"/>
      <c r="AG15" s="68"/>
      <c r="AH15" s="68"/>
      <c r="AI15" s="68"/>
      <c r="AJ15" s="68"/>
      <c r="AK15" s="68"/>
      <c r="AL15" s="68"/>
      <c r="AY15" s="41"/>
      <c r="AZ15" s="41"/>
      <c r="BA15" s="41"/>
    </row>
    <row r="16" spans="1:53" s="38" customFormat="1" ht="24.75" customHeight="1" x14ac:dyDescent="0.25">
      <c r="A16" s="68"/>
      <c r="B16" s="78"/>
      <c r="C16" s="47" t="s">
        <v>1</v>
      </c>
      <c r="D16" s="52"/>
      <c r="E16" s="230" t="s">
        <v>16</v>
      </c>
      <c r="F16" s="231"/>
      <c r="G16" s="232"/>
      <c r="H16" s="49"/>
      <c r="I16" s="233">
        <v>10</v>
      </c>
      <c r="J16" s="234"/>
      <c r="K16" s="234"/>
      <c r="L16" s="234"/>
      <c r="M16" s="235"/>
      <c r="N16" s="49" t="s">
        <v>4</v>
      </c>
      <c r="O16" s="49" t="s">
        <v>97</v>
      </c>
      <c r="P16" s="49"/>
      <c r="Q16" s="49"/>
      <c r="R16" s="49"/>
      <c r="S16" s="50" t="s">
        <v>0</v>
      </c>
      <c r="T16" s="236">
        <f>IF(OR(I12="",I14="",I16="",I18=""),0,IF($I$18="Capital Repayment",-PMT(($I$16/100/12),$I$14,$I$12,0),IF($I$18="Interest Only",$I$12*($I$16/100/12),"")))</f>
        <v>3303.7684220440415</v>
      </c>
      <c r="U16" s="237"/>
      <c r="V16" s="237"/>
      <c r="W16" s="238"/>
      <c r="X16" s="59" t="s">
        <v>6</v>
      </c>
      <c r="Y16" s="49"/>
      <c r="Z16" s="79"/>
      <c r="AA16" s="68"/>
      <c r="AB16" s="68"/>
      <c r="AC16" s="90"/>
      <c r="AD16" s="68"/>
      <c r="AE16" s="68"/>
      <c r="AF16" s="91"/>
      <c r="AG16" s="92"/>
      <c r="AH16" s="75"/>
      <c r="AI16" s="68"/>
      <c r="AJ16" s="68"/>
      <c r="AK16" s="68"/>
      <c r="AL16" s="68"/>
      <c r="AY16" s="41"/>
      <c r="AZ16" s="41"/>
      <c r="BA16" s="41"/>
    </row>
    <row r="17" spans="1:53" s="38" customFormat="1" ht="8.25" customHeight="1" x14ac:dyDescent="0.25">
      <c r="A17" s="68"/>
      <c r="B17" s="78"/>
      <c r="C17" s="52"/>
      <c r="D17" s="52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79"/>
      <c r="AA17" s="68"/>
      <c r="AB17" s="68"/>
      <c r="AC17" s="69"/>
      <c r="AD17" s="68"/>
      <c r="AE17" s="68"/>
      <c r="AF17" s="68"/>
      <c r="AG17" s="68"/>
      <c r="AH17" s="75"/>
      <c r="AI17" s="68"/>
      <c r="AJ17" s="68"/>
      <c r="AK17" s="68"/>
      <c r="AL17" s="68"/>
      <c r="AY17" s="41"/>
      <c r="AZ17" s="41"/>
      <c r="BA17" s="41"/>
    </row>
    <row r="18" spans="1:53" s="38" customFormat="1" ht="24.75" customHeight="1" x14ac:dyDescent="0.25">
      <c r="A18" s="68"/>
      <c r="B18" s="78"/>
      <c r="C18" s="53" t="s">
        <v>3</v>
      </c>
      <c r="D18" s="54"/>
      <c r="E18" s="57"/>
      <c r="F18" s="57"/>
      <c r="G18" s="57"/>
      <c r="H18" s="57"/>
      <c r="I18" s="241" t="s">
        <v>8</v>
      </c>
      <c r="J18" s="242"/>
      <c r="K18" s="242"/>
      <c r="L18" s="242"/>
      <c r="M18" s="243"/>
      <c r="N18" s="49"/>
      <c r="O18" s="49"/>
      <c r="P18" s="60"/>
      <c r="Q18" s="49"/>
      <c r="R18" s="49"/>
      <c r="S18" s="50"/>
      <c r="T18" s="244"/>
      <c r="U18" s="244"/>
      <c r="V18" s="244"/>
      <c r="W18" s="244"/>
      <c r="X18" s="59"/>
      <c r="Y18" s="49"/>
      <c r="Z18" s="79"/>
      <c r="AA18" s="68"/>
      <c r="AB18" s="67"/>
      <c r="AC18" s="68"/>
      <c r="AD18" s="68"/>
      <c r="AE18" s="93"/>
      <c r="AF18" s="89"/>
      <c r="AG18" s="93"/>
      <c r="AH18" s="75"/>
      <c r="AI18" s="68"/>
      <c r="AJ18" s="68"/>
      <c r="AK18" s="68"/>
      <c r="AL18" s="68"/>
      <c r="AY18" s="41"/>
      <c r="AZ18" s="41"/>
      <c r="BA18" s="41"/>
    </row>
    <row r="19" spans="1:53" ht="9" customHeight="1" thickBot="1" x14ac:dyDescent="0.3"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61"/>
      <c r="AA19" s="67"/>
      <c r="AB19" s="67"/>
      <c r="AC19" s="70"/>
      <c r="AD19" s="67"/>
      <c r="AE19" s="67"/>
      <c r="AF19" s="67"/>
      <c r="AG19" s="67"/>
      <c r="AH19" s="75"/>
      <c r="AI19" s="68"/>
      <c r="AJ19" s="67"/>
      <c r="AK19" s="67"/>
      <c r="AL19" s="67"/>
    </row>
    <row r="20" spans="1:53" ht="6.75" customHeight="1" x14ac:dyDescent="0.25">
      <c r="AA20" s="67"/>
      <c r="AB20" s="67"/>
      <c r="AC20" s="70"/>
      <c r="AD20" s="67"/>
      <c r="AE20" s="67"/>
      <c r="AF20" s="67"/>
      <c r="AG20" s="67"/>
      <c r="AH20" s="75"/>
      <c r="AI20" s="68"/>
      <c r="AJ20" s="67"/>
      <c r="AK20" s="67"/>
      <c r="AL20" s="67"/>
    </row>
    <row r="21" spans="1:53" s="38" customFormat="1" ht="21.75" hidden="1" customHeight="1" x14ac:dyDescent="0.25">
      <c r="A21" s="68"/>
      <c r="B21" s="221" t="s">
        <v>27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3"/>
      <c r="AA21" s="68"/>
      <c r="AB21" s="68"/>
      <c r="AC21" s="68"/>
      <c r="AD21" s="68"/>
      <c r="AE21" s="68"/>
      <c r="AF21" s="68"/>
      <c r="AG21" s="68"/>
      <c r="AH21" s="75"/>
      <c r="AI21" s="68"/>
      <c r="AJ21" s="68"/>
      <c r="AK21" s="68"/>
      <c r="AL21" s="68"/>
      <c r="AY21" s="41"/>
      <c r="AZ21" s="41"/>
      <c r="BA21" s="41"/>
    </row>
    <row r="22" spans="1:53" ht="9" hidden="1" customHeight="1" x14ac:dyDescent="0.25">
      <c r="B22" s="45"/>
      <c r="C22" s="44"/>
      <c r="D22" s="44"/>
      <c r="E22" s="44"/>
      <c r="F22" s="60"/>
      <c r="G22" s="60"/>
      <c r="H22" s="60"/>
      <c r="I22" s="60"/>
      <c r="J22" s="60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6"/>
      <c r="AA22" s="67"/>
      <c r="AB22" s="67"/>
      <c r="AC22" s="70"/>
      <c r="AD22" s="71"/>
      <c r="AE22" s="71"/>
      <c r="AF22" s="71"/>
      <c r="AG22" s="67"/>
      <c r="AH22" s="75"/>
      <c r="AI22" s="68"/>
      <c r="AJ22" s="67"/>
      <c r="AK22" s="67"/>
      <c r="AL22" s="67"/>
    </row>
    <row r="23" spans="1:53" ht="25.5" hidden="1" customHeight="1" x14ac:dyDescent="0.25">
      <c r="B23" s="45"/>
      <c r="C23" s="245" t="s">
        <v>58</v>
      </c>
      <c r="D23" s="245"/>
      <c r="E23" s="44"/>
      <c r="F23" s="246" t="s">
        <v>44</v>
      </c>
      <c r="G23" s="246"/>
      <c r="H23" s="203"/>
      <c r="I23" s="203" t="s">
        <v>2</v>
      </c>
      <c r="J23" s="203"/>
      <c r="K23" s="247" t="s">
        <v>47</v>
      </c>
      <c r="L23" s="247"/>
      <c r="M23" s="247"/>
      <c r="N23" s="44"/>
      <c r="O23" s="247" t="s">
        <v>45</v>
      </c>
      <c r="P23" s="247"/>
      <c r="Q23" s="44"/>
      <c r="R23" s="247" t="s">
        <v>46</v>
      </c>
      <c r="S23" s="247"/>
      <c r="T23" s="44"/>
      <c r="U23" s="44" t="s">
        <v>53</v>
      </c>
      <c r="V23" s="44"/>
      <c r="W23" s="44"/>
      <c r="X23" s="44"/>
      <c r="Y23" s="44"/>
      <c r="Z23" s="46"/>
      <c r="AA23" s="67"/>
      <c r="AB23" s="67"/>
      <c r="AC23" s="70"/>
      <c r="AD23" s="71"/>
      <c r="AE23" s="71"/>
      <c r="AF23" s="71"/>
      <c r="AG23" s="67"/>
      <c r="AH23" s="75"/>
      <c r="AI23" s="68"/>
      <c r="AJ23" s="67"/>
      <c r="AK23" s="67"/>
      <c r="AL23" s="67"/>
    </row>
    <row r="24" spans="1:53" ht="25.5" hidden="1" customHeight="1" x14ac:dyDescent="0.25">
      <c r="B24" s="45"/>
      <c r="C24" s="248" t="s">
        <v>11</v>
      </c>
      <c r="D24" s="249"/>
      <c r="E24" s="44"/>
      <c r="F24" s="250" t="s">
        <v>9</v>
      </c>
      <c r="G24" s="251"/>
      <c r="H24" s="60"/>
      <c r="I24" s="42">
        <v>0</v>
      </c>
      <c r="J24" s="60" t="s">
        <v>5</v>
      </c>
      <c r="K24" s="252">
        <v>40544</v>
      </c>
      <c r="L24" s="253"/>
      <c r="M24" s="254"/>
      <c r="N24" s="44"/>
      <c r="O24" s="255">
        <v>0</v>
      </c>
      <c r="P24" s="256"/>
      <c r="Q24" s="44"/>
      <c r="R24" s="255">
        <v>0</v>
      </c>
      <c r="S24" s="256"/>
      <c r="T24" s="44"/>
      <c r="U24" s="239">
        <f>IF(F24="Interest Only",(O24*IR_Stress!$E$4/12)+R24,IF(F24="Capital Repayment",R24*(1+VLOOKUP('Lookup Commercial Term'!$V$3,'Lookup Commercial Term'!$B$23:$G$63,'Lookup Commercial Term'!$P$12,FALSE)),0))</f>
        <v>0</v>
      </c>
      <c r="V24" s="240"/>
      <c r="W24" s="44"/>
      <c r="X24" s="44"/>
      <c r="Y24" s="44"/>
      <c r="Z24" s="46"/>
      <c r="AA24" s="67"/>
      <c r="AB24" s="67"/>
      <c r="AC24" s="70"/>
      <c r="AD24" s="71"/>
      <c r="AE24" s="71"/>
      <c r="AF24" s="71"/>
      <c r="AG24" s="67"/>
      <c r="AH24" s="75"/>
      <c r="AI24" s="68"/>
      <c r="AJ24" s="67"/>
      <c r="AK24" s="67"/>
      <c r="AL24" s="67"/>
    </row>
    <row r="25" spans="1:53" ht="9" hidden="1" customHeight="1" x14ac:dyDescent="0.25">
      <c r="B25" s="45"/>
      <c r="C25" s="44"/>
      <c r="D25" s="44"/>
      <c r="E25" s="44"/>
      <c r="F25" s="60"/>
      <c r="G25" s="60"/>
      <c r="H25" s="60"/>
      <c r="I25" s="60"/>
      <c r="J25" s="60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6"/>
      <c r="AA25" s="67"/>
      <c r="AB25" s="67"/>
      <c r="AC25" s="70"/>
      <c r="AD25" s="71"/>
      <c r="AE25" s="71"/>
      <c r="AF25" s="71"/>
      <c r="AG25" s="67"/>
      <c r="AH25" s="75"/>
      <c r="AI25" s="68"/>
      <c r="AJ25" s="67"/>
      <c r="AK25" s="67"/>
      <c r="AL25" s="67"/>
    </row>
    <row r="26" spans="1:53" ht="9" hidden="1" customHeight="1" thickBot="1" x14ac:dyDescent="0.3">
      <c r="B26" s="55"/>
      <c r="C26" s="56"/>
      <c r="D26" s="56"/>
      <c r="E26" s="56"/>
      <c r="F26" s="63"/>
      <c r="G26" s="63"/>
      <c r="H26" s="63"/>
      <c r="I26" s="63"/>
      <c r="J26" s="63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61"/>
      <c r="AA26" s="67"/>
      <c r="AB26" s="67"/>
      <c r="AC26" s="73"/>
      <c r="AD26" s="74"/>
      <c r="AE26" s="74"/>
      <c r="AF26" s="67"/>
      <c r="AG26" s="67"/>
      <c r="AH26" s="75"/>
      <c r="AI26" s="68"/>
      <c r="AJ26" s="67"/>
      <c r="AK26" s="67"/>
      <c r="AL26" s="67"/>
    </row>
    <row r="27" spans="1:53" ht="3" customHeight="1" thickBot="1" x14ac:dyDescent="0.3">
      <c r="AA27" s="67"/>
      <c r="AB27" s="67"/>
      <c r="AC27" s="73"/>
      <c r="AD27" s="74"/>
      <c r="AE27" s="74"/>
      <c r="AF27" s="67"/>
      <c r="AG27" s="67"/>
      <c r="AH27" s="75"/>
      <c r="AI27" s="68"/>
      <c r="AJ27" s="67"/>
      <c r="AK27" s="67"/>
      <c r="AL27" s="67"/>
    </row>
    <row r="28" spans="1:53" s="38" customFormat="1" ht="21.75" customHeight="1" x14ac:dyDescent="0.25">
      <c r="A28" s="68"/>
      <c r="B28" s="221" t="s">
        <v>20</v>
      </c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3"/>
      <c r="AA28" s="68"/>
      <c r="AB28" s="68"/>
      <c r="AC28" s="206"/>
      <c r="AD28" s="207"/>
      <c r="AE28" s="208"/>
      <c r="AF28" s="95"/>
      <c r="AG28" s="68"/>
      <c r="AH28" s="75"/>
      <c r="AI28" s="68"/>
      <c r="AJ28" s="68"/>
      <c r="AK28" s="68"/>
      <c r="AL28" s="68"/>
      <c r="AY28" s="41"/>
      <c r="AZ28" s="41"/>
      <c r="BA28" s="41"/>
    </row>
    <row r="29" spans="1:53" ht="9" customHeight="1" x14ac:dyDescent="0.25">
      <c r="B29" s="45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6"/>
      <c r="AA29" s="67"/>
      <c r="AB29" s="67"/>
      <c r="AC29" s="73"/>
      <c r="AD29" s="74"/>
      <c r="AE29" s="74"/>
      <c r="AF29" s="71"/>
      <c r="AG29" s="67"/>
      <c r="AH29" s="75"/>
      <c r="AI29" s="68"/>
      <c r="AJ29" s="67"/>
      <c r="AK29" s="67"/>
      <c r="AL29" s="67"/>
    </row>
    <row r="30" spans="1:53" s="38" customFormat="1" ht="24.75" customHeight="1" x14ac:dyDescent="0.25">
      <c r="A30" s="68"/>
      <c r="B30" s="78"/>
      <c r="C30" s="47" t="s">
        <v>17</v>
      </c>
      <c r="D30" s="52"/>
      <c r="E30" s="49"/>
      <c r="F30" s="49"/>
      <c r="G30" s="49"/>
      <c r="H30" s="50" t="s">
        <v>0</v>
      </c>
      <c r="I30" s="233">
        <v>5000</v>
      </c>
      <c r="J30" s="234"/>
      <c r="K30" s="234"/>
      <c r="L30" s="234"/>
      <c r="M30" s="235"/>
      <c r="N30" s="49"/>
      <c r="O30" s="248" t="s">
        <v>19</v>
      </c>
      <c r="P30" s="257"/>
      <c r="Q30" s="249"/>
      <c r="R30" s="49"/>
      <c r="S30" s="49"/>
      <c r="T30" s="49"/>
      <c r="U30" s="49"/>
      <c r="V30" s="49"/>
      <c r="W30" s="49"/>
      <c r="X30" s="49"/>
      <c r="Y30" s="49"/>
      <c r="Z30" s="79"/>
      <c r="AA30" s="68"/>
      <c r="AB30" s="68"/>
      <c r="AC30" s="96"/>
      <c r="AD30" s="86"/>
      <c r="AE30" s="68"/>
      <c r="AF30" s="72"/>
      <c r="AG30" s="68"/>
      <c r="AH30" s="75"/>
      <c r="AI30" s="68"/>
      <c r="AJ30" s="68"/>
      <c r="AK30" s="68"/>
      <c r="AL30" s="68"/>
      <c r="AY30" s="41"/>
      <c r="AZ30" s="41"/>
      <c r="BA30" s="41"/>
    </row>
    <row r="31" spans="1:53" ht="9" customHeight="1" thickBot="1" x14ac:dyDescent="0.3">
      <c r="B31" s="55"/>
      <c r="C31" s="80"/>
      <c r="D31" s="80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61"/>
      <c r="AA31" s="67"/>
      <c r="AB31" s="67"/>
      <c r="AC31" s="73"/>
      <c r="AD31" s="86"/>
      <c r="AE31" s="74"/>
      <c r="AF31" s="67"/>
      <c r="AG31" s="67"/>
      <c r="AH31" s="67"/>
      <c r="AI31" s="67"/>
      <c r="AJ31" s="67"/>
      <c r="AK31" s="67"/>
      <c r="AL31" s="67"/>
    </row>
    <row r="32" spans="1:53" ht="10.5" customHeight="1" thickBot="1" x14ac:dyDescent="0.3"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73"/>
      <c r="AD32" s="86"/>
      <c r="AE32" s="74"/>
      <c r="AF32" s="67"/>
      <c r="AG32" s="67"/>
      <c r="AH32" s="67"/>
      <c r="AI32" s="67"/>
      <c r="AJ32" s="67"/>
      <c r="AK32" s="67"/>
      <c r="AL32" s="67"/>
    </row>
    <row r="33" spans="1:53" s="38" customFormat="1" ht="21.75" customHeight="1" x14ac:dyDescent="0.25">
      <c r="A33" s="68"/>
      <c r="B33" s="258" t="s">
        <v>22</v>
      </c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60"/>
      <c r="AA33" s="68"/>
      <c r="AB33" s="68"/>
      <c r="AC33" s="69"/>
      <c r="AD33" s="86"/>
      <c r="AE33" s="95"/>
      <c r="AF33" s="95"/>
      <c r="AG33" s="68"/>
      <c r="AH33" s="68"/>
      <c r="AI33" s="68"/>
      <c r="AJ33" s="68"/>
      <c r="AK33" s="68"/>
      <c r="AL33" s="68"/>
      <c r="AY33" s="41"/>
      <c r="AZ33" s="41"/>
      <c r="BA33" s="41"/>
    </row>
    <row r="34" spans="1:53" ht="9" customHeight="1" thickBot="1" x14ac:dyDescent="0.3">
      <c r="B34" s="45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6"/>
      <c r="AA34" s="67"/>
      <c r="AB34" s="67"/>
      <c r="AC34" s="70"/>
      <c r="AD34" s="86"/>
      <c r="AE34" s="95"/>
      <c r="AF34" s="95"/>
      <c r="AG34" s="68"/>
      <c r="AH34" s="68"/>
      <c r="AI34" s="68"/>
      <c r="AJ34" s="68"/>
      <c r="AK34" s="68"/>
      <c r="AL34" s="68"/>
      <c r="AM34" s="38"/>
      <c r="AN34" s="38"/>
      <c r="AO34" s="38"/>
      <c r="AP34" s="38"/>
      <c r="AQ34" s="38"/>
    </row>
    <row r="35" spans="1:53" s="38" customFormat="1" ht="24.75" customHeight="1" thickBot="1" x14ac:dyDescent="0.3">
      <c r="A35" s="68"/>
      <c r="B35" s="78"/>
      <c r="C35" s="47"/>
      <c r="D35" s="52"/>
      <c r="E35" s="81"/>
      <c r="F35" s="82"/>
      <c r="G35" s="83"/>
      <c r="H35" s="85" t="s">
        <v>98</v>
      </c>
      <c r="I35" s="49"/>
      <c r="J35" s="49" t="s">
        <v>21</v>
      </c>
      <c r="K35" s="99">
        <f>'Lookup Commercial Term'!E9/'Lookup Commercial Term'!E10</f>
        <v>1.5134232673930881</v>
      </c>
      <c r="L35" s="202"/>
      <c r="M35" s="261" t="str">
        <f>IF(K35=0,"",IF($K$35&gt;='Lookup Commercial Term'!$B$18,'Lookup Commercial Term'!$C$13,'Lookup Commercial Term'!$C$14))</f>
        <v>ACCEPT</v>
      </c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79"/>
      <c r="AA35" s="68"/>
      <c r="AB35" s="68"/>
      <c r="AC35" s="69"/>
      <c r="AD35" s="86"/>
      <c r="AE35" s="95"/>
      <c r="AF35" s="95"/>
      <c r="AG35" s="68"/>
      <c r="AH35" s="68"/>
      <c r="AI35" s="68"/>
      <c r="AJ35" s="68"/>
      <c r="AK35" s="68"/>
      <c r="AL35" s="68"/>
      <c r="AY35" s="41"/>
      <c r="AZ35" s="41"/>
      <c r="BA35" s="41"/>
    </row>
    <row r="36" spans="1:53" s="38" customFormat="1" ht="24.75" customHeight="1" x14ac:dyDescent="0.25">
      <c r="A36" s="68"/>
      <c r="B36" s="78"/>
      <c r="C36" s="47" t="str">
        <f>IF(SUM(G33:Y33)=0,"","Threshold")</f>
        <v/>
      </c>
      <c r="D36" s="52"/>
      <c r="E36" s="52"/>
      <c r="F36" s="52"/>
      <c r="G36" s="49"/>
      <c r="H36" s="52"/>
      <c r="I36" s="81"/>
      <c r="J36" s="49"/>
      <c r="K36" s="47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79"/>
      <c r="AA36" s="68"/>
      <c r="AB36" s="68"/>
      <c r="AC36" s="69"/>
      <c r="AD36" s="86"/>
      <c r="AE36" s="72"/>
      <c r="AF36" s="72"/>
      <c r="AG36" s="68"/>
      <c r="AH36" s="68"/>
      <c r="AI36" s="68"/>
      <c r="AJ36" s="68"/>
      <c r="AK36" s="68"/>
      <c r="AL36" s="68"/>
      <c r="AY36" s="41"/>
      <c r="AZ36" s="41"/>
      <c r="BA36" s="41"/>
    </row>
    <row r="37" spans="1:53" ht="9" customHeight="1" x14ac:dyDescent="0.25">
      <c r="B37" s="45"/>
      <c r="C37" s="48"/>
      <c r="D37" s="48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6"/>
      <c r="AA37" s="67"/>
      <c r="AB37" s="67"/>
      <c r="AC37" s="70"/>
      <c r="AD37" s="86"/>
      <c r="AE37" s="67"/>
      <c r="AF37" s="67"/>
      <c r="AG37" s="67"/>
      <c r="AH37" s="67"/>
      <c r="AI37" s="67"/>
      <c r="AJ37" s="67"/>
      <c r="AK37" s="67"/>
      <c r="AL37" s="67"/>
    </row>
    <row r="38" spans="1:53" x14ac:dyDescent="0.25">
      <c r="B38" s="45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6"/>
      <c r="AA38" s="67"/>
      <c r="AB38" s="67"/>
      <c r="AC38" s="70"/>
      <c r="AD38" s="67"/>
      <c r="AE38" s="67"/>
      <c r="AF38" s="67"/>
      <c r="AG38" s="67"/>
      <c r="AH38" s="67"/>
      <c r="AI38" s="67"/>
      <c r="AJ38" s="67"/>
      <c r="AK38" s="67"/>
      <c r="AL38" s="67"/>
    </row>
    <row r="39" spans="1:53" x14ac:dyDescent="0.25">
      <c r="B39" s="4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 t="s">
        <v>26</v>
      </c>
      <c r="Q39" s="44"/>
      <c r="R39" s="44"/>
      <c r="S39" s="44"/>
      <c r="T39" s="44"/>
      <c r="U39" s="44"/>
      <c r="V39" s="44"/>
      <c r="W39" s="44"/>
      <c r="X39" s="44"/>
      <c r="Y39" s="44"/>
      <c r="Z39" s="46"/>
      <c r="AA39" s="67"/>
      <c r="AB39" s="67"/>
      <c r="AC39" s="70"/>
      <c r="AD39" s="67"/>
      <c r="AE39" s="67"/>
      <c r="AF39" s="67"/>
      <c r="AG39" s="67"/>
      <c r="AH39" s="67"/>
      <c r="AI39" s="67"/>
      <c r="AJ39" s="67"/>
      <c r="AK39" s="67"/>
      <c r="AL39" s="67"/>
    </row>
    <row r="40" spans="1:53" x14ac:dyDescent="0.25"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6"/>
      <c r="AA40" s="67"/>
      <c r="AB40" s="67"/>
      <c r="AC40" s="70"/>
      <c r="AD40" s="67"/>
      <c r="AE40" s="67"/>
      <c r="AF40" s="67"/>
      <c r="AG40" s="67"/>
      <c r="AH40" s="67"/>
      <c r="AI40" s="67"/>
      <c r="AJ40" s="67"/>
      <c r="AK40" s="67"/>
      <c r="AL40" s="67"/>
    </row>
    <row r="41" spans="1:5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6"/>
      <c r="AA41" s="67"/>
      <c r="AB41" s="67"/>
      <c r="AC41" s="70"/>
      <c r="AD41" s="67"/>
      <c r="AE41" s="67"/>
      <c r="AF41" s="67"/>
      <c r="AG41" s="67"/>
      <c r="AH41" s="67"/>
      <c r="AI41" s="67"/>
      <c r="AJ41" s="67"/>
      <c r="AK41" s="67"/>
      <c r="AL41" s="67"/>
    </row>
    <row r="42" spans="1:53" ht="15.75" thickBot="1" x14ac:dyDescent="0.3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61"/>
      <c r="AA42" s="67"/>
      <c r="AB42" s="67"/>
      <c r="AC42" s="70"/>
      <c r="AD42" s="67"/>
      <c r="AE42" s="67"/>
      <c r="AF42" s="67"/>
      <c r="AG42" s="67"/>
      <c r="AH42" s="67"/>
      <c r="AI42" s="67"/>
      <c r="AJ42" s="67"/>
      <c r="AK42" s="67"/>
      <c r="AL42" s="67"/>
    </row>
    <row r="43" spans="1:53" x14ac:dyDescent="0.2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70"/>
      <c r="AD43" s="67"/>
      <c r="AE43" s="67"/>
      <c r="AF43" s="67"/>
      <c r="AG43" s="67"/>
      <c r="AH43" s="67"/>
      <c r="AI43" s="67"/>
      <c r="AJ43" s="67"/>
      <c r="AK43" s="67"/>
      <c r="AL43" s="67"/>
    </row>
    <row r="44" spans="1:53" x14ac:dyDescent="0.2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70"/>
      <c r="AD44" s="67"/>
      <c r="AE44" s="67"/>
      <c r="AF44" s="67"/>
      <c r="AG44" s="67"/>
      <c r="AH44" s="67"/>
      <c r="AI44" s="67"/>
      <c r="AJ44" s="67"/>
      <c r="AK44" s="67"/>
      <c r="AL44" s="67"/>
    </row>
    <row r="45" spans="1:53" x14ac:dyDescent="0.2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70"/>
      <c r="AD45" s="67"/>
      <c r="AE45" s="67"/>
      <c r="AF45" s="67"/>
      <c r="AG45" s="67"/>
      <c r="AH45" s="67"/>
      <c r="AI45" s="67"/>
      <c r="AJ45" s="67"/>
      <c r="AK45" s="67"/>
      <c r="AL45" s="67"/>
    </row>
    <row r="46" spans="1:53" x14ac:dyDescent="0.2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70"/>
      <c r="AD46" s="67"/>
      <c r="AE46" s="67"/>
      <c r="AF46" s="67"/>
      <c r="AG46" s="67"/>
      <c r="AH46" s="67"/>
      <c r="AI46" s="67"/>
      <c r="AJ46" s="67"/>
      <c r="AK46" s="67"/>
      <c r="AL46" s="67"/>
    </row>
    <row r="47" spans="1:53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70"/>
      <c r="AD47" s="67"/>
      <c r="AE47" s="67"/>
      <c r="AF47" s="67"/>
      <c r="AG47" s="67"/>
      <c r="AH47" s="67"/>
      <c r="AI47" s="67"/>
      <c r="AJ47" s="67"/>
      <c r="AK47" s="67"/>
      <c r="AL47" s="67"/>
    </row>
    <row r="48" spans="1:53" x14ac:dyDescent="0.2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70"/>
      <c r="AD48" s="67"/>
      <c r="AE48" s="67"/>
      <c r="AF48" s="67"/>
      <c r="AG48" s="67"/>
      <c r="AH48" s="67"/>
      <c r="AI48" s="67"/>
      <c r="AJ48" s="67"/>
      <c r="AK48" s="67"/>
      <c r="AL48" s="67"/>
    </row>
    <row r="49" spans="2:38" x14ac:dyDescent="0.2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70"/>
      <c r="AD49" s="67"/>
      <c r="AE49" s="67"/>
      <c r="AF49" s="67"/>
      <c r="AG49" s="67"/>
      <c r="AH49" s="67"/>
      <c r="AI49" s="67"/>
      <c r="AJ49" s="67"/>
      <c r="AK49" s="67"/>
      <c r="AL49" s="67"/>
    </row>
    <row r="50" spans="2:38" x14ac:dyDescent="0.2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70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2:38" x14ac:dyDescent="0.2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70"/>
      <c r="AD51" s="67"/>
      <c r="AE51" s="67"/>
      <c r="AF51" s="67"/>
      <c r="AG51" s="67"/>
      <c r="AH51" s="67"/>
      <c r="AI51" s="67"/>
      <c r="AJ51" s="67"/>
      <c r="AK51" s="67"/>
      <c r="AL51" s="67"/>
    </row>
    <row r="52" spans="2:38" x14ac:dyDescent="0.2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70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2:38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70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2:38" x14ac:dyDescent="0.2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70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2:38" x14ac:dyDescent="0.25">
      <c r="B55" s="67"/>
      <c r="C55" s="9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70"/>
      <c r="AD55" s="67"/>
      <c r="AE55" s="67"/>
      <c r="AF55" s="67"/>
      <c r="AG55" s="67"/>
      <c r="AH55" s="67"/>
      <c r="AI55" s="67"/>
      <c r="AJ55" s="67"/>
      <c r="AK55" s="67"/>
      <c r="AL55" s="67"/>
    </row>
    <row r="56" spans="2:38" x14ac:dyDescent="0.25">
      <c r="AA56" s="67"/>
      <c r="AB56" s="67"/>
      <c r="AC56" s="70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2:38" x14ac:dyDescent="0.25">
      <c r="C57" s="76"/>
      <c r="AA57" s="67"/>
      <c r="AB57" s="67"/>
      <c r="AC57" s="70"/>
      <c r="AD57" s="67"/>
      <c r="AE57" s="67"/>
      <c r="AF57" s="67"/>
      <c r="AG57" s="67"/>
      <c r="AH57" s="67"/>
      <c r="AI57" s="67"/>
      <c r="AJ57" s="67"/>
      <c r="AK57" s="67"/>
      <c r="AL57" s="67"/>
    </row>
    <row r="58" spans="2:38" x14ac:dyDescent="0.25">
      <c r="D58" s="77"/>
      <c r="AA58" s="67"/>
      <c r="AB58" s="67"/>
      <c r="AC58" s="70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2:38" x14ac:dyDescent="0.25">
      <c r="D59" s="77"/>
      <c r="AA59" s="67"/>
      <c r="AB59" s="67"/>
      <c r="AC59" s="70"/>
      <c r="AD59" s="67"/>
      <c r="AE59" s="67"/>
      <c r="AF59" s="67"/>
      <c r="AG59" s="67"/>
      <c r="AH59" s="67"/>
      <c r="AI59" s="67"/>
      <c r="AJ59" s="67"/>
      <c r="AK59" s="67"/>
      <c r="AL59" s="67"/>
    </row>
    <row r="60" spans="2:38" x14ac:dyDescent="0.25">
      <c r="D60" s="43"/>
      <c r="AA60" s="67"/>
      <c r="AB60" s="67"/>
      <c r="AC60" s="70"/>
      <c r="AD60" s="67"/>
      <c r="AE60" s="67"/>
      <c r="AF60" s="67"/>
      <c r="AG60" s="67"/>
      <c r="AH60" s="67"/>
      <c r="AI60" s="67"/>
      <c r="AJ60" s="67"/>
      <c r="AK60" s="67"/>
      <c r="AL60" s="67"/>
    </row>
    <row r="61" spans="2:38" x14ac:dyDescent="0.25">
      <c r="AA61" s="67"/>
      <c r="AB61" s="67"/>
      <c r="AC61" s="70"/>
      <c r="AD61" s="67"/>
      <c r="AE61" s="67"/>
      <c r="AF61" s="67"/>
      <c r="AG61" s="67"/>
      <c r="AH61" s="67"/>
      <c r="AI61" s="67"/>
      <c r="AJ61" s="67"/>
      <c r="AK61" s="67"/>
      <c r="AL61" s="67"/>
    </row>
    <row r="62" spans="2:38" x14ac:dyDescent="0.25">
      <c r="AA62" s="67"/>
      <c r="AB62" s="67"/>
      <c r="AC62" s="70"/>
      <c r="AD62" s="67"/>
      <c r="AE62" s="67"/>
      <c r="AF62" s="67"/>
      <c r="AG62" s="67"/>
      <c r="AH62" s="67"/>
      <c r="AI62" s="67"/>
      <c r="AJ62" s="67"/>
      <c r="AK62" s="67"/>
      <c r="AL62" s="67"/>
    </row>
  </sheetData>
  <sheetProtection algorithmName="SHA-512" hashValue="m9gIL25T+q0F7xCIwXDNHyESTPkfhVkV1YKEC/Ut4x7cvTdQnFM2hxzsR1tHpwkFF2MEeC5ehnD+O9SZLP0cDQ==" saltValue="4Q0iwsSm0Yx6DDIg33Y3FA==" spinCount="100000" sheet="1" selectLockedCells="1"/>
  <mergeCells count="25">
    <mergeCell ref="B28:Z28"/>
    <mergeCell ref="I30:M30"/>
    <mergeCell ref="O30:Q30"/>
    <mergeCell ref="B33:Z33"/>
    <mergeCell ref="M35:Y35"/>
    <mergeCell ref="U24:V24"/>
    <mergeCell ref="I18:M18"/>
    <mergeCell ref="T18:W18"/>
    <mergeCell ref="B21:Z21"/>
    <mergeCell ref="C23:D23"/>
    <mergeCell ref="F23:G23"/>
    <mergeCell ref="K23:M23"/>
    <mergeCell ref="O23:P23"/>
    <mergeCell ref="R23:S23"/>
    <mergeCell ref="C24:D24"/>
    <mergeCell ref="F24:G24"/>
    <mergeCell ref="K24:M24"/>
    <mergeCell ref="O24:P24"/>
    <mergeCell ref="R24:S24"/>
    <mergeCell ref="B10:Z10"/>
    <mergeCell ref="I12:M12"/>
    <mergeCell ref="I14:M14"/>
    <mergeCell ref="E16:G16"/>
    <mergeCell ref="I16:M16"/>
    <mergeCell ref="T16:W16"/>
  </mergeCells>
  <pageMargins left="0.7" right="0.7" top="0.75" bottom="0.75" header="0.3" footer="0.3"/>
  <pageSetup paperSize="9" scale="3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'Lookup Commercial Term'!$K$4:$K$5</xm:f>
          </x14:formula1>
          <xm:sqref>C24:D24</xm:sqref>
        </x14:dataValidation>
        <x14:dataValidation type="list" allowBlank="1" showInputMessage="1" showErrorMessage="1">
          <x14:formula1>
            <xm:f>'Lookup Commercial Term'!$B$3:$B$5</xm:f>
          </x14:formula1>
          <xm:sqref>O30:Q30</xm:sqref>
        </x14:dataValidation>
        <x14:dataValidation type="list" allowBlank="1" showInputMessage="1" showErrorMessage="1">
          <x14:formula1>
            <xm:f>'Lookup Commercial Term'!$E$3:$E$4</xm:f>
          </x14:formula1>
          <xm:sqref>E16:G16</xm:sqref>
        </x14:dataValidation>
        <x14:dataValidation type="list" allowBlank="1" showInputMessage="1" showErrorMessage="1">
          <x14:formula1>
            <xm:f>'Lookup Commercial Term'!$H$3:$H$5</xm:f>
          </x14:formula1>
          <xm:sqref>I18:M18 F24:G24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A64"/>
  <sheetViews>
    <sheetView showGridLines="0" showRowColHeaders="0" zoomScale="80" zoomScaleNormal="80" workbookViewId="0">
      <selection activeCell="G62" sqref="G62"/>
    </sheetView>
  </sheetViews>
  <sheetFormatPr defaultColWidth="9.140625" defaultRowHeight="15" x14ac:dyDescent="0.25"/>
  <cols>
    <col min="1" max="1" width="13.5703125" style="103" customWidth="1"/>
    <col min="2" max="5" width="9.140625" style="105"/>
    <col min="6" max="6" width="12.85546875" style="105" customWidth="1"/>
    <col min="7" max="7" width="10.5703125" style="105" customWidth="1"/>
    <col min="8" max="8" width="13.5703125" style="105" customWidth="1"/>
    <col min="9" max="12" width="9.140625" style="105"/>
    <col min="13" max="13" width="19.42578125" style="105" customWidth="1"/>
    <col min="14" max="17" width="9.140625" style="105"/>
    <col min="18" max="18" width="6.28515625" style="105" customWidth="1"/>
    <col min="19" max="20" width="9.140625" style="105"/>
    <col min="21" max="22" width="11.42578125" style="105" customWidth="1"/>
    <col min="23" max="25" width="9.140625" style="105"/>
    <col min="26" max="40" width="9.140625" style="103"/>
    <col min="41" max="16384" width="9.140625" style="105"/>
  </cols>
  <sheetData>
    <row r="1" spans="2:32" ht="18" customHeight="1" x14ac:dyDescent="0.25"/>
    <row r="3" spans="2:32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2:32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2:32" ht="18" customHeight="1" x14ac:dyDescent="0.25"/>
    <row r="6" spans="2:32" ht="5.25" customHeight="1" thickBot="1" x14ac:dyDescent="0.3">
      <c r="AC6" s="104"/>
      <c r="AD6" s="106"/>
      <c r="AE6" s="106"/>
    </row>
    <row r="7" spans="2:32" x14ac:dyDescent="0.25">
      <c r="B7" s="221" t="s">
        <v>12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3"/>
      <c r="AC7" s="115"/>
    </row>
    <row r="8" spans="2:32" x14ac:dyDescent="0.25">
      <c r="B8" s="45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6"/>
      <c r="AC8" s="116"/>
      <c r="AD8" s="117"/>
      <c r="AE8" s="117"/>
      <c r="AF8" s="117"/>
    </row>
    <row r="9" spans="2:32" x14ac:dyDescent="0.25">
      <c r="B9" s="45"/>
      <c r="C9" s="47" t="s">
        <v>15</v>
      </c>
      <c r="D9" s="48"/>
      <c r="E9" s="49"/>
      <c r="F9" s="49"/>
      <c r="G9" s="44"/>
      <c r="H9" s="50" t="s">
        <v>0</v>
      </c>
      <c r="I9" s="233">
        <v>250000</v>
      </c>
      <c r="J9" s="234"/>
      <c r="K9" s="234"/>
      <c r="L9" s="234"/>
      <c r="M9" s="235"/>
      <c r="N9" s="44"/>
      <c r="O9" s="44"/>
      <c r="P9" s="49"/>
      <c r="Q9" s="49"/>
      <c r="R9" s="49"/>
      <c r="S9" s="49"/>
      <c r="T9" s="49"/>
      <c r="U9" s="49"/>
      <c r="V9" s="49"/>
      <c r="W9" s="49"/>
      <c r="X9" s="44"/>
      <c r="Y9" s="46"/>
      <c r="AF9" s="118"/>
    </row>
    <row r="10" spans="2:32" x14ac:dyDescent="0.25">
      <c r="B10" s="45"/>
      <c r="C10" s="48"/>
      <c r="D10" s="48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6"/>
    </row>
    <row r="11" spans="2:32" x14ac:dyDescent="0.25">
      <c r="B11" s="45"/>
      <c r="C11" s="204" t="s">
        <v>2</v>
      </c>
      <c r="D11" s="48"/>
      <c r="E11" s="49"/>
      <c r="F11" s="49"/>
      <c r="G11" s="49"/>
      <c r="H11" s="44"/>
      <c r="I11" s="262">
        <v>120</v>
      </c>
      <c r="J11" s="262"/>
      <c r="K11" s="262"/>
      <c r="L11" s="262"/>
      <c r="M11" s="262"/>
      <c r="N11" s="49" t="s">
        <v>5</v>
      </c>
      <c r="O11" s="44"/>
      <c r="P11" s="49"/>
      <c r="Q11" s="49"/>
      <c r="R11" s="49"/>
      <c r="S11" s="49"/>
      <c r="T11" s="49"/>
      <c r="U11" s="49"/>
      <c r="V11" s="49"/>
      <c r="W11" s="49"/>
      <c r="X11" s="44"/>
      <c r="Y11" s="46"/>
    </row>
    <row r="12" spans="2:32" x14ac:dyDescent="0.25">
      <c r="B12" s="45"/>
      <c r="C12" s="48"/>
      <c r="D12" s="48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6"/>
    </row>
    <row r="13" spans="2:32" x14ac:dyDescent="0.25">
      <c r="B13" s="45"/>
      <c r="C13" s="47" t="s">
        <v>1</v>
      </c>
      <c r="D13" s="48"/>
      <c r="E13" s="230" t="s">
        <v>16</v>
      </c>
      <c r="F13" s="231"/>
      <c r="G13" s="232"/>
      <c r="H13" s="44"/>
      <c r="I13" s="233">
        <v>10</v>
      </c>
      <c r="J13" s="234"/>
      <c r="K13" s="234"/>
      <c r="L13" s="234"/>
      <c r="M13" s="235"/>
      <c r="N13" s="49" t="s">
        <v>4</v>
      </c>
      <c r="O13" s="49" t="s">
        <v>97</v>
      </c>
      <c r="P13" s="44"/>
      <c r="Q13" s="49"/>
      <c r="R13" s="49"/>
      <c r="S13" s="50" t="s">
        <v>0</v>
      </c>
      <c r="T13" s="236">
        <f>IF(OR(I9="",I11="",I13="",I15=""),0,IF($I$15="Capital Repayment",-PMT(($I$13/100/12),$I$11,$I$9,0),IF($I$15="Interest Only",$I$9*($I$13/100/12),"")))</f>
        <v>3303.7684220440415</v>
      </c>
      <c r="U13" s="237"/>
      <c r="V13" s="238"/>
      <c r="W13" s="59" t="s">
        <v>6</v>
      </c>
      <c r="X13" s="44"/>
      <c r="Y13" s="46"/>
    </row>
    <row r="14" spans="2:32" x14ac:dyDescent="0.25">
      <c r="B14" s="45"/>
      <c r="C14" s="52"/>
      <c r="D14" s="48"/>
      <c r="E14" s="44"/>
      <c r="F14" s="44"/>
      <c r="G14" s="44"/>
      <c r="H14" s="44"/>
      <c r="I14" s="44"/>
      <c r="J14" s="44"/>
      <c r="K14" s="44"/>
      <c r="L14" s="44"/>
      <c r="M14" s="44"/>
      <c r="N14" s="49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/>
    </row>
    <row r="15" spans="2:32" x14ac:dyDescent="0.25">
      <c r="B15" s="45"/>
      <c r="C15" s="53" t="s">
        <v>3</v>
      </c>
      <c r="D15" s="54"/>
      <c r="E15" s="57"/>
      <c r="F15" s="57"/>
      <c r="G15" s="57"/>
      <c r="H15" s="58"/>
      <c r="I15" s="241" t="s">
        <v>8</v>
      </c>
      <c r="J15" s="242"/>
      <c r="K15" s="242"/>
      <c r="L15" s="242"/>
      <c r="M15" s="243"/>
      <c r="N15" s="44"/>
      <c r="O15" s="49"/>
      <c r="P15" s="60"/>
      <c r="Q15" s="49"/>
      <c r="R15" s="49"/>
      <c r="S15" s="50"/>
      <c r="T15" s="244"/>
      <c r="U15" s="244"/>
      <c r="V15" s="244"/>
      <c r="W15" s="59"/>
      <c r="X15" s="44"/>
      <c r="Y15" s="46"/>
    </row>
    <row r="16" spans="2:32" ht="15.75" thickBot="1" x14ac:dyDescent="0.3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61"/>
    </row>
    <row r="17" spans="1:53" hidden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AC17" s="107"/>
      <c r="AD17" s="108"/>
      <c r="AE17" s="108"/>
      <c r="AH17" s="109"/>
      <c r="AI17" s="104"/>
      <c r="AY17" s="110"/>
      <c r="AZ17" s="110"/>
      <c r="BA17" s="110"/>
    </row>
    <row r="18" spans="1:53" hidden="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AC18" s="116"/>
      <c r="AH18" s="109"/>
      <c r="AI18" s="104"/>
      <c r="AY18" s="110"/>
      <c r="AZ18" s="110"/>
      <c r="BA18" s="110"/>
    </row>
    <row r="19" spans="1:53" s="119" customFormat="1" ht="63" hidden="1" customHeight="1" x14ac:dyDescent="0.25">
      <c r="A19" s="104"/>
      <c r="B19" s="221" t="s">
        <v>27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3"/>
      <c r="Z19" s="104"/>
      <c r="AA19" s="104"/>
      <c r="AB19" s="104"/>
      <c r="AC19" s="104"/>
      <c r="AD19" s="104"/>
      <c r="AE19" s="104"/>
      <c r="AF19" s="104"/>
      <c r="AG19" s="109"/>
      <c r="AH19" s="104"/>
      <c r="AI19" s="104"/>
      <c r="AJ19" s="104"/>
      <c r="AK19" s="104"/>
      <c r="AL19" s="104"/>
      <c r="AM19" s="104"/>
      <c r="AN19" s="104"/>
      <c r="AX19" s="113"/>
      <c r="AY19" s="113"/>
      <c r="AZ19" s="113"/>
    </row>
    <row r="20" spans="1:53" ht="23.25" hidden="1" customHeight="1" x14ac:dyDescent="0.25">
      <c r="B20" s="45"/>
      <c r="C20" s="44"/>
      <c r="D20" s="44"/>
      <c r="E20" s="44"/>
      <c r="F20" s="60"/>
      <c r="G20" s="60"/>
      <c r="H20" s="60"/>
      <c r="I20" s="60"/>
      <c r="J20" s="60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6"/>
      <c r="AB20" s="116"/>
      <c r="AC20" s="117"/>
      <c r="AD20" s="117"/>
      <c r="AE20" s="117"/>
      <c r="AG20" s="109"/>
      <c r="AH20" s="104"/>
      <c r="AX20" s="110"/>
      <c r="AY20" s="110"/>
      <c r="AZ20" s="110"/>
    </row>
    <row r="21" spans="1:53" ht="13.5" hidden="1" customHeight="1" x14ac:dyDescent="0.25">
      <c r="B21" s="45"/>
      <c r="C21" s="245" t="s">
        <v>58</v>
      </c>
      <c r="D21" s="245"/>
      <c r="E21" s="44"/>
      <c r="F21" s="246" t="s">
        <v>44</v>
      </c>
      <c r="G21" s="246"/>
      <c r="H21" s="203"/>
      <c r="I21" s="203" t="s">
        <v>2</v>
      </c>
      <c r="J21" s="203"/>
      <c r="K21" s="247" t="s">
        <v>47</v>
      </c>
      <c r="L21" s="247"/>
      <c r="M21" s="247"/>
      <c r="N21" s="44"/>
      <c r="O21" s="247" t="s">
        <v>45</v>
      </c>
      <c r="P21" s="247"/>
      <c r="Q21" s="44"/>
      <c r="R21" s="247" t="s">
        <v>46</v>
      </c>
      <c r="S21" s="247"/>
      <c r="T21" s="44"/>
      <c r="U21" s="44" t="s">
        <v>53</v>
      </c>
      <c r="V21" s="44"/>
      <c r="W21" s="44"/>
      <c r="X21" s="44"/>
      <c r="Y21" s="46"/>
      <c r="AB21" s="116"/>
      <c r="AC21" s="117"/>
      <c r="AD21" s="117"/>
      <c r="AE21" s="117"/>
      <c r="AG21" s="109"/>
      <c r="AH21" s="104"/>
      <c r="AX21" s="110"/>
      <c r="AY21" s="110"/>
      <c r="AZ21" s="110"/>
    </row>
    <row r="22" spans="1:53" ht="49.5" hidden="1" customHeight="1" x14ac:dyDescent="0.25">
      <c r="B22" s="45"/>
      <c r="C22" s="248" t="s">
        <v>11</v>
      </c>
      <c r="D22" s="249"/>
      <c r="E22" s="44"/>
      <c r="F22" s="250" t="s">
        <v>9</v>
      </c>
      <c r="G22" s="251"/>
      <c r="H22" s="60"/>
      <c r="I22" s="42">
        <v>0</v>
      </c>
      <c r="J22" s="60" t="s">
        <v>5</v>
      </c>
      <c r="K22" s="252">
        <v>40544</v>
      </c>
      <c r="L22" s="253"/>
      <c r="M22" s="254"/>
      <c r="N22" s="44"/>
      <c r="O22" s="255">
        <v>0</v>
      </c>
      <c r="P22" s="256"/>
      <c r="Q22" s="44"/>
      <c r="R22" s="255">
        <v>0</v>
      </c>
      <c r="S22" s="256"/>
      <c r="T22" s="44"/>
      <c r="U22" s="239">
        <f>IF(F22="Interest Only",(O22*IR_Stress!$E$4/12)+R22,IF(F22="Capital Repayment",R22*(1+VLOOKUP('Lookup Commercial Term'!$V$3,'Lookup Commercial Term'!$B$23:$G$63,'Lookup Commercial Term'!$P$12,FALSE)),0))</f>
        <v>0</v>
      </c>
      <c r="V22" s="240"/>
      <c r="W22" s="44"/>
      <c r="X22" s="44"/>
      <c r="Y22" s="46"/>
      <c r="AB22" s="116"/>
      <c r="AC22" s="117"/>
      <c r="AD22" s="117"/>
      <c r="AE22" s="117"/>
      <c r="AG22" s="109"/>
      <c r="AH22" s="104"/>
      <c r="AX22" s="110"/>
      <c r="AY22" s="110"/>
      <c r="AZ22" s="110"/>
    </row>
    <row r="23" spans="1:53" ht="29.25" hidden="1" customHeight="1" x14ac:dyDescent="0.25">
      <c r="B23" s="45"/>
      <c r="C23" s="44"/>
      <c r="D23" s="44"/>
      <c r="E23" s="44"/>
      <c r="F23" s="60"/>
      <c r="G23" s="60"/>
      <c r="H23" s="60"/>
      <c r="I23" s="60"/>
      <c r="J23" s="60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6"/>
      <c r="AB23" s="116"/>
      <c r="AC23" s="117"/>
      <c r="AD23" s="117"/>
      <c r="AE23" s="117"/>
      <c r="AG23" s="109"/>
      <c r="AH23" s="104"/>
      <c r="AX23" s="110"/>
      <c r="AY23" s="110"/>
      <c r="AZ23" s="110"/>
    </row>
    <row r="24" spans="1:53" ht="40.5" hidden="1" customHeight="1" thickBot="1" x14ac:dyDescent="0.3">
      <c r="B24" s="55"/>
      <c r="C24" s="56"/>
      <c r="D24" s="56"/>
      <c r="E24" s="56"/>
      <c r="F24" s="63"/>
      <c r="G24" s="63"/>
      <c r="H24" s="63"/>
      <c r="I24" s="63"/>
      <c r="J24" s="63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61"/>
      <c r="AB24" s="107"/>
      <c r="AC24" s="108"/>
      <c r="AD24" s="108"/>
      <c r="AG24" s="109"/>
      <c r="AH24" s="104"/>
      <c r="AX24" s="110"/>
      <c r="AY24" s="110"/>
      <c r="AZ24" s="110"/>
    </row>
    <row r="25" spans="1:53" ht="10.5" customHeight="1" thickBot="1" x14ac:dyDescent="0.3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AC25" s="107"/>
      <c r="AD25" s="108"/>
      <c r="AE25" s="108"/>
      <c r="AH25" s="109"/>
      <c r="AI25" s="104"/>
      <c r="AY25" s="110"/>
      <c r="AZ25" s="110"/>
      <c r="BA25" s="110"/>
    </row>
    <row r="26" spans="1:53" s="119" customFormat="1" ht="21.75" customHeight="1" x14ac:dyDescent="0.25">
      <c r="A26" s="104"/>
      <c r="B26" s="258" t="s">
        <v>75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60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X26" s="113"/>
      <c r="AY26" s="113"/>
      <c r="AZ26" s="113"/>
    </row>
    <row r="27" spans="1:53" ht="9.75" customHeight="1" x14ac:dyDescent="0.25">
      <c r="B27" s="45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6"/>
      <c r="AX27" s="110"/>
      <c r="AY27" s="110"/>
      <c r="AZ27" s="110"/>
    </row>
    <row r="28" spans="1:53" ht="9.75" customHeight="1" x14ac:dyDescent="0.25">
      <c r="B28" s="45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6"/>
      <c r="AX28" s="110"/>
      <c r="AY28" s="110"/>
      <c r="AZ28" s="110"/>
    </row>
    <row r="29" spans="1:53" x14ac:dyDescent="0.25">
      <c r="B29" s="45"/>
      <c r="C29" s="49" t="s">
        <v>100</v>
      </c>
      <c r="D29" s="49"/>
      <c r="E29" s="49"/>
      <c r="F29" s="44"/>
      <c r="G29" s="50" t="s">
        <v>0</v>
      </c>
      <c r="H29" s="265">
        <v>5000</v>
      </c>
      <c r="I29" s="265"/>
      <c r="J29" s="44"/>
      <c r="K29" s="265" t="s">
        <v>19</v>
      </c>
      <c r="L29" s="265"/>
      <c r="M29" s="265"/>
      <c r="N29" s="44"/>
      <c r="O29" s="44"/>
      <c r="P29" s="44"/>
      <c r="Q29" s="44"/>
      <c r="R29" s="44"/>
      <c r="S29" s="64"/>
      <c r="T29" s="64"/>
      <c r="U29" s="64"/>
      <c r="V29" s="49"/>
      <c r="W29" s="49"/>
      <c r="X29" s="49"/>
      <c r="Y29" s="46"/>
      <c r="AA29" s="120"/>
      <c r="AC29" s="144"/>
      <c r="AD29" s="145"/>
      <c r="AF29" s="122"/>
      <c r="AH29" s="122"/>
      <c r="AI29" s="121"/>
      <c r="AJ29" s="122"/>
      <c r="AK29" s="121"/>
      <c r="AX29" s="110"/>
      <c r="AY29" s="110"/>
      <c r="AZ29" s="110"/>
    </row>
    <row r="30" spans="1:53" ht="8.25" customHeight="1" x14ac:dyDescent="0.25">
      <c r="B30" s="45"/>
      <c r="C30" s="49"/>
      <c r="D30" s="49"/>
      <c r="E30" s="49"/>
      <c r="F30" s="44"/>
      <c r="G30" s="64"/>
      <c r="H30" s="64"/>
      <c r="I30" s="64"/>
      <c r="J30" s="49"/>
      <c r="K30" s="66"/>
      <c r="L30" s="44"/>
      <c r="M30" s="44"/>
      <c r="N30" s="44"/>
      <c r="O30" s="44"/>
      <c r="P30" s="44"/>
      <c r="Q30" s="44"/>
      <c r="R30" s="64"/>
      <c r="S30" s="64"/>
      <c r="T30" s="64"/>
      <c r="U30" s="64"/>
      <c r="V30" s="49"/>
      <c r="W30" s="49"/>
      <c r="X30" s="49"/>
      <c r="Y30" s="46"/>
      <c r="AA30" s="120"/>
      <c r="AC30" s="144"/>
      <c r="AD30" s="145"/>
      <c r="AE30" s="120"/>
      <c r="AF30" s="122"/>
      <c r="AH30" s="122"/>
      <c r="AI30" s="121"/>
      <c r="AJ30" s="122"/>
      <c r="AK30" s="121"/>
      <c r="AX30" s="110"/>
      <c r="AY30" s="110"/>
      <c r="AZ30" s="110"/>
    </row>
    <row r="31" spans="1:53" x14ac:dyDescent="0.25">
      <c r="B31" s="45"/>
      <c r="C31" s="49" t="s">
        <v>101</v>
      </c>
      <c r="D31" s="49"/>
      <c r="E31" s="49"/>
      <c r="F31" s="44"/>
      <c r="G31" s="50" t="s">
        <v>0</v>
      </c>
      <c r="H31" s="265">
        <v>0</v>
      </c>
      <c r="I31" s="265"/>
      <c r="J31" s="49"/>
      <c r="K31" s="248" t="s">
        <v>19</v>
      </c>
      <c r="L31" s="257"/>
      <c r="M31" s="249"/>
      <c r="N31" s="49"/>
      <c r="O31" s="44"/>
      <c r="P31" s="44"/>
      <c r="Q31" s="44"/>
      <c r="R31" s="64"/>
      <c r="S31" s="64"/>
      <c r="T31" s="64"/>
      <c r="U31" s="64"/>
      <c r="V31" s="49"/>
      <c r="W31" s="49"/>
      <c r="X31" s="49"/>
      <c r="Y31" s="46"/>
      <c r="AA31" s="120"/>
      <c r="AC31" s="146"/>
      <c r="AD31" s="146"/>
      <c r="AF31" s="122"/>
      <c r="AH31" s="122"/>
      <c r="AI31" s="121"/>
      <c r="AJ31" s="122"/>
      <c r="AK31" s="121"/>
      <c r="AX31" s="110"/>
      <c r="AY31" s="110"/>
      <c r="AZ31" s="110"/>
    </row>
    <row r="32" spans="1:53" x14ac:dyDescent="0.25">
      <c r="B32" s="45"/>
      <c r="C32" s="209" t="s">
        <v>102</v>
      </c>
      <c r="D32" s="49"/>
      <c r="E32" s="49"/>
      <c r="F32" s="44"/>
      <c r="G32" s="50"/>
      <c r="H32" s="50"/>
      <c r="I32" s="50"/>
      <c r="J32" s="49"/>
      <c r="K32" s="49"/>
      <c r="L32" s="49"/>
      <c r="M32" s="49"/>
      <c r="N32" s="49"/>
      <c r="O32" s="44"/>
      <c r="P32" s="44"/>
      <c r="Q32" s="44"/>
      <c r="R32" s="64"/>
      <c r="S32" s="64"/>
      <c r="T32" s="64"/>
      <c r="U32" s="64"/>
      <c r="V32" s="49"/>
      <c r="W32" s="49"/>
      <c r="X32" s="49"/>
      <c r="Y32" s="46"/>
      <c r="AA32" s="120"/>
      <c r="AC32" s="146"/>
      <c r="AD32" s="147"/>
      <c r="AF32" s="122"/>
      <c r="AH32" s="122"/>
      <c r="AI32" s="121"/>
      <c r="AJ32" s="122"/>
      <c r="AK32" s="121"/>
      <c r="AX32" s="110"/>
      <c r="AY32" s="110"/>
      <c r="AZ32" s="110"/>
    </row>
    <row r="33" spans="2:52" ht="21" hidden="1" customHeight="1" x14ac:dyDescent="0.25">
      <c r="B33" s="45"/>
      <c r="C33" s="49" t="s">
        <v>31</v>
      </c>
      <c r="D33" s="49"/>
      <c r="E33" s="49"/>
      <c r="F33" s="44"/>
      <c r="G33" s="50"/>
      <c r="H33" s="266" t="s">
        <v>10</v>
      </c>
      <c r="I33" s="267"/>
      <c r="J33" s="49"/>
      <c r="K33" s="49"/>
      <c r="L33" s="49"/>
      <c r="M33" s="49"/>
      <c r="N33" s="49"/>
      <c r="O33" s="44"/>
      <c r="P33" s="44"/>
      <c r="Q33" s="44"/>
      <c r="R33" s="64"/>
      <c r="S33" s="64"/>
      <c r="T33" s="64"/>
      <c r="U33" s="64"/>
      <c r="V33" s="49"/>
      <c r="W33" s="49"/>
      <c r="X33" s="49"/>
      <c r="Y33" s="46"/>
      <c r="AA33" s="120"/>
      <c r="AC33" s="146"/>
      <c r="AD33" s="147"/>
      <c r="AF33" s="122"/>
      <c r="AH33" s="122"/>
      <c r="AI33" s="121"/>
      <c r="AJ33" s="122"/>
      <c r="AK33" s="121"/>
      <c r="AX33" s="110"/>
      <c r="AY33" s="110"/>
      <c r="AZ33" s="110"/>
    </row>
    <row r="34" spans="2:52" ht="9.75" hidden="1" customHeight="1" x14ac:dyDescent="0.25">
      <c r="B34" s="45"/>
      <c r="C34" s="49"/>
      <c r="D34" s="49"/>
      <c r="E34" s="49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6"/>
      <c r="AC34" s="147"/>
      <c r="AD34" s="147"/>
      <c r="AX34" s="110"/>
      <c r="AY34" s="110"/>
      <c r="AZ34" s="110"/>
    </row>
    <row r="35" spans="2:52" hidden="1" x14ac:dyDescent="0.25">
      <c r="B35" s="45"/>
      <c r="C35" s="49" t="s">
        <v>62</v>
      </c>
      <c r="D35" s="49"/>
      <c r="E35" s="49"/>
      <c r="F35" s="44"/>
      <c r="G35" s="64" t="s">
        <v>0</v>
      </c>
      <c r="H35" s="248">
        <v>0</v>
      </c>
      <c r="I35" s="249"/>
      <c r="J35" s="100"/>
      <c r="K35" s="248" t="s">
        <v>63</v>
      </c>
      <c r="L35" s="257"/>
      <c r="M35" s="249"/>
      <c r="N35" s="100"/>
      <c r="O35" s="98" t="s">
        <v>73</v>
      </c>
      <c r="P35" s="100"/>
      <c r="Q35" s="100"/>
      <c r="R35" s="100"/>
      <c r="S35" s="98" t="s">
        <v>74</v>
      </c>
      <c r="T35" s="44"/>
      <c r="U35" s="44"/>
      <c r="V35" s="44"/>
      <c r="W35" s="44"/>
      <c r="X35" s="44"/>
      <c r="Y35" s="46"/>
      <c r="AC35" s="147"/>
      <c r="AD35" s="147"/>
      <c r="AX35" s="110"/>
      <c r="AY35" s="110"/>
      <c r="AZ35" s="110"/>
    </row>
    <row r="36" spans="2:52" hidden="1" x14ac:dyDescent="0.25">
      <c r="B36" s="45"/>
      <c r="C36" s="49"/>
      <c r="D36" s="49"/>
      <c r="E36" s="49"/>
      <c r="F36" s="44"/>
      <c r="G36" s="44"/>
      <c r="H36" s="100"/>
      <c r="I36" s="100"/>
      <c r="J36" s="100"/>
      <c r="K36" s="100"/>
      <c r="L36" s="100"/>
      <c r="M36" s="100"/>
      <c r="N36" s="100"/>
      <c r="O36" s="100" t="s">
        <v>63</v>
      </c>
      <c r="P36" s="44"/>
      <c r="Q36" s="44"/>
      <c r="R36" s="44"/>
      <c r="S36" s="44" t="s">
        <v>77</v>
      </c>
      <c r="T36" s="44"/>
      <c r="U36" s="44"/>
      <c r="V36" s="44"/>
      <c r="W36" s="44"/>
      <c r="X36" s="44"/>
      <c r="Y36" s="46"/>
      <c r="AX36" s="110"/>
      <c r="AY36" s="110"/>
      <c r="AZ36" s="110"/>
    </row>
    <row r="37" spans="2:52" hidden="1" x14ac:dyDescent="0.25">
      <c r="B37" s="45"/>
      <c r="C37" s="49"/>
      <c r="D37" s="49"/>
      <c r="E37" s="49"/>
      <c r="F37" s="44"/>
      <c r="G37" s="44"/>
      <c r="H37" s="100"/>
      <c r="I37" s="100"/>
      <c r="J37" s="100"/>
      <c r="K37" s="100"/>
      <c r="L37" s="100"/>
      <c r="M37" s="100"/>
      <c r="N37" s="100"/>
      <c r="O37" s="100" t="s">
        <v>72</v>
      </c>
      <c r="P37" s="44"/>
      <c r="Q37" s="44"/>
      <c r="R37" s="44"/>
      <c r="S37" s="44" t="s">
        <v>76</v>
      </c>
      <c r="T37" s="44"/>
      <c r="U37" s="44"/>
      <c r="V37" s="44"/>
      <c r="W37" s="44"/>
      <c r="X37" s="44"/>
      <c r="Y37" s="46"/>
      <c r="AX37" s="110"/>
      <c r="AY37" s="110"/>
      <c r="AZ37" s="110"/>
    </row>
    <row r="38" spans="2:52" hidden="1" x14ac:dyDescent="0.25">
      <c r="B38" s="45"/>
      <c r="C38" s="49"/>
      <c r="D38" s="49"/>
      <c r="E38" s="49"/>
      <c r="F38" s="44"/>
      <c r="G38" s="44"/>
      <c r="H38" s="100"/>
      <c r="I38" s="100"/>
      <c r="J38" s="100"/>
      <c r="K38" s="100"/>
      <c r="L38" s="100"/>
      <c r="M38" s="100"/>
      <c r="N38" s="100"/>
      <c r="O38" s="100"/>
      <c r="P38" s="44"/>
      <c r="Q38" s="44"/>
      <c r="R38" s="44"/>
      <c r="S38" s="44"/>
      <c r="T38" s="44"/>
      <c r="U38" s="44"/>
      <c r="V38" s="44"/>
      <c r="W38" s="44"/>
      <c r="X38" s="44"/>
      <c r="Y38" s="46"/>
      <c r="AX38" s="110"/>
      <c r="AY38" s="110"/>
      <c r="AZ38" s="110"/>
    </row>
    <row r="39" spans="2:52" ht="15.75" thickBot="1" x14ac:dyDescent="0.3">
      <c r="B39" s="55"/>
      <c r="C39" s="65"/>
      <c r="D39" s="65"/>
      <c r="E39" s="65"/>
      <c r="F39" s="56"/>
      <c r="G39" s="56"/>
      <c r="H39" s="101"/>
      <c r="I39" s="101"/>
      <c r="J39" s="101"/>
      <c r="K39" s="101"/>
      <c r="L39" s="101"/>
      <c r="M39" s="101"/>
      <c r="N39" s="101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61"/>
      <c r="AX39" s="110"/>
      <c r="AY39" s="110"/>
      <c r="AZ39" s="110"/>
    </row>
    <row r="40" spans="2:52" ht="15.75" thickBot="1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AX40" s="110"/>
      <c r="AY40" s="110"/>
      <c r="AZ40" s="110"/>
    </row>
    <row r="41" spans="2:52" x14ac:dyDescent="0.25">
      <c r="B41" s="221" t="s">
        <v>33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3"/>
    </row>
    <row r="42" spans="2:52" x14ac:dyDescent="0.25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6"/>
    </row>
    <row r="43" spans="2:52" hidden="1" x14ac:dyDescent="0.25">
      <c r="B43" s="45"/>
      <c r="C43" s="44"/>
      <c r="D43" s="44"/>
      <c r="E43" s="44"/>
      <c r="F43" s="44"/>
      <c r="G43" s="44"/>
      <c r="H43" s="44" t="s">
        <v>57</v>
      </c>
      <c r="I43" s="44"/>
      <c r="J43" s="44"/>
      <c r="K43" s="44"/>
      <c r="L43" s="44" t="s">
        <v>53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6"/>
    </row>
    <row r="44" spans="2:52" hidden="1" x14ac:dyDescent="0.25">
      <c r="B44" s="45"/>
      <c r="C44" s="44" t="s">
        <v>55</v>
      </c>
      <c r="D44" s="44"/>
      <c r="E44" s="44"/>
      <c r="F44" s="44"/>
      <c r="G44" s="50" t="s">
        <v>0</v>
      </c>
      <c r="H44" s="268">
        <f>IF(C22="Yes",R22,0)</f>
        <v>0</v>
      </c>
      <c r="I44" s="269"/>
      <c r="J44" s="44"/>
      <c r="K44" s="50" t="s">
        <v>0</v>
      </c>
      <c r="L44" s="268">
        <f>IF(C22="Yes",U22,0)</f>
        <v>0</v>
      </c>
      <c r="M44" s="269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6"/>
    </row>
    <row r="45" spans="2:52" hidden="1" x14ac:dyDescent="0.25">
      <c r="B45" s="45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6"/>
    </row>
    <row r="46" spans="2:52" x14ac:dyDescent="0.25">
      <c r="B46" s="45"/>
      <c r="C46" s="205" t="s">
        <v>103</v>
      </c>
      <c r="D46" s="44"/>
      <c r="E46" s="44"/>
      <c r="F46" s="44"/>
      <c r="G46" s="50" t="s">
        <v>0</v>
      </c>
      <c r="H46" s="263">
        <v>0</v>
      </c>
      <c r="I46" s="26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6"/>
    </row>
    <row r="47" spans="2:52" ht="15.75" thickBot="1" x14ac:dyDescent="0.3">
      <c r="B47" s="55"/>
      <c r="C47" s="140"/>
      <c r="D47" s="56"/>
      <c r="E47" s="56"/>
      <c r="F47" s="56"/>
      <c r="G47" s="123"/>
      <c r="H47" s="148"/>
      <c r="I47" s="148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61"/>
    </row>
    <row r="48" spans="2:52" ht="15.75" thickBot="1" x14ac:dyDescent="0.3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</row>
    <row r="49" spans="2:40" x14ac:dyDescent="0.25">
      <c r="B49" s="221" t="s">
        <v>34</v>
      </c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3"/>
    </row>
    <row r="50" spans="2:40" x14ac:dyDescent="0.25">
      <c r="B50" s="45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6"/>
    </row>
    <row r="51" spans="2:40" x14ac:dyDescent="0.25">
      <c r="B51" s="45"/>
      <c r="C51" s="44"/>
      <c r="D51" s="44"/>
      <c r="E51" s="44"/>
      <c r="F51" s="44"/>
      <c r="G51" s="44"/>
      <c r="H51" s="98" t="s">
        <v>74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6"/>
    </row>
    <row r="52" spans="2:40" x14ac:dyDescent="0.25">
      <c r="B52" s="45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6"/>
    </row>
    <row r="53" spans="2:40" x14ac:dyDescent="0.25">
      <c r="B53" s="45"/>
      <c r="C53" s="44" t="s">
        <v>30</v>
      </c>
      <c r="D53" s="44"/>
      <c r="E53" s="44"/>
      <c r="F53" s="44"/>
      <c r="G53" s="50" t="s">
        <v>0</v>
      </c>
      <c r="H53" s="236">
        <f>(IF(K31="Projected",H31*90%,H31))+(IF(K29="Projected",H29*90%,H29))+(IF(K35="Based on projected affordability",H35*50%,H35*80%))</f>
        <v>5000</v>
      </c>
      <c r="I53" s="238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6"/>
    </row>
    <row r="54" spans="2:40" x14ac:dyDescent="0.25">
      <c r="B54" s="45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6"/>
    </row>
    <row r="55" spans="2:40" x14ac:dyDescent="0.25">
      <c r="B55" s="45"/>
      <c r="C55" s="44" t="s">
        <v>56</v>
      </c>
      <c r="D55" s="44"/>
      <c r="E55" s="44"/>
      <c r="F55" s="44"/>
      <c r="G55" s="50" t="s">
        <v>0</v>
      </c>
      <c r="H55" s="236">
        <f>L44+H46</f>
        <v>0</v>
      </c>
      <c r="I55" s="238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6"/>
      <c r="AK55" s="105"/>
      <c r="AL55" s="105"/>
      <c r="AM55" s="105"/>
      <c r="AN55" s="105"/>
    </row>
    <row r="56" spans="2:40" x14ac:dyDescent="0.25">
      <c r="B56" s="45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6"/>
      <c r="AK56" s="105"/>
      <c r="AL56" s="105"/>
      <c r="AM56" s="105"/>
      <c r="AN56" s="105"/>
    </row>
    <row r="57" spans="2:40" x14ac:dyDescent="0.25">
      <c r="B57" s="45"/>
      <c r="C57" s="44" t="s">
        <v>99</v>
      </c>
      <c r="D57" s="44"/>
      <c r="E57" s="44"/>
      <c r="F57" s="44"/>
      <c r="G57" s="50" t="s">
        <v>0</v>
      </c>
      <c r="H57" s="236">
        <f>T13</f>
        <v>3303.7684220440415</v>
      </c>
      <c r="I57" s="238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6"/>
      <c r="AK57" s="105"/>
      <c r="AL57" s="105"/>
      <c r="AM57" s="105"/>
      <c r="AN57" s="105"/>
    </row>
    <row r="58" spans="2:40" ht="15.75" thickBot="1" x14ac:dyDescent="0.3">
      <c r="B58" s="45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6"/>
      <c r="AK58" s="105"/>
      <c r="AL58" s="105"/>
      <c r="AM58" s="105"/>
      <c r="AN58" s="105"/>
    </row>
    <row r="59" spans="2:40" ht="25.15" customHeight="1" thickBot="1" x14ac:dyDescent="0.3">
      <c r="B59" s="45"/>
      <c r="C59" s="44" t="s">
        <v>32</v>
      </c>
      <c r="D59" s="44"/>
      <c r="E59" s="44"/>
      <c r="F59" s="44"/>
      <c r="G59" s="50"/>
      <c r="H59" s="270">
        <f>((H57+H55)/H53)</f>
        <v>0.66075368440880833</v>
      </c>
      <c r="I59" s="271"/>
      <c r="J59" s="44"/>
      <c r="K59" s="272" t="str">
        <f>IF(H59&gt;0.75,"DECLINED: Outside of policy - please speak with our support team on 0161 933 7101",(IF(H59&gt;0.5,"REFERRAL: Higher TSDI's considered on merit; please speak to your BDM before submitting this case","ACCEPT")))</f>
        <v>REFERRAL: Higher TSDI's considered on merit; please speak to your BDM before submitting this case</v>
      </c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44"/>
      <c r="W59" s="44"/>
      <c r="X59" s="44"/>
      <c r="Y59" s="46"/>
      <c r="AK59" s="105"/>
      <c r="AL59" s="105"/>
      <c r="AM59" s="105"/>
      <c r="AN59" s="105"/>
    </row>
    <row r="60" spans="2:40" ht="15.75" thickBot="1" x14ac:dyDescent="0.3">
      <c r="B60" s="55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61"/>
    </row>
    <row r="61" spans="2:40" ht="23.25" x14ac:dyDescent="0.35">
      <c r="B61" s="111"/>
    </row>
    <row r="62" spans="2:40" ht="23.25" x14ac:dyDescent="0.35">
      <c r="B62" s="111"/>
    </row>
    <row r="63" spans="2:40" x14ac:dyDescent="0.25">
      <c r="I63" s="112"/>
    </row>
    <row r="64" spans="2:40" x14ac:dyDescent="0.25">
      <c r="I64" s="113"/>
      <c r="J64" s="114"/>
    </row>
  </sheetData>
  <sheetProtection algorithmName="SHA-512" hashValue="TlDNUEUXfJhzL4qLalQ3lgf8DWd0VzQ33vOaOB81Fg/FtfAw5Bq0jMqXcFIbZuSi1T3NScYGih9rAvoEWi5maw==" saltValue="eX/Tu3Fhah1XcYJeiAVUHQ==" spinCount="100000" sheet="1" selectLockedCells="1"/>
  <mergeCells count="38">
    <mergeCell ref="B49:Y49"/>
    <mergeCell ref="H53:I53"/>
    <mergeCell ref="H55:I55"/>
    <mergeCell ref="H57:I57"/>
    <mergeCell ref="H59:I59"/>
    <mergeCell ref="K59:U59"/>
    <mergeCell ref="H46:I46"/>
    <mergeCell ref="B26:Y26"/>
    <mergeCell ref="H29:I29"/>
    <mergeCell ref="K29:M29"/>
    <mergeCell ref="H31:I31"/>
    <mergeCell ref="K31:M31"/>
    <mergeCell ref="H33:I33"/>
    <mergeCell ref="H35:I35"/>
    <mergeCell ref="K35:M35"/>
    <mergeCell ref="B41:Y41"/>
    <mergeCell ref="H44:I44"/>
    <mergeCell ref="L44:M44"/>
    <mergeCell ref="U22:V22"/>
    <mergeCell ref="I15:M15"/>
    <mergeCell ref="T15:V15"/>
    <mergeCell ref="B19:Y19"/>
    <mergeCell ref="C21:D21"/>
    <mergeCell ref="F21:G21"/>
    <mergeCell ref="K21:M21"/>
    <mergeCell ref="O21:P21"/>
    <mergeCell ref="R21:S21"/>
    <mergeCell ref="C22:D22"/>
    <mergeCell ref="F22:G22"/>
    <mergeCell ref="K22:M22"/>
    <mergeCell ref="O22:P22"/>
    <mergeCell ref="R22:S22"/>
    <mergeCell ref="B7:Y7"/>
    <mergeCell ref="I9:M9"/>
    <mergeCell ref="I11:M11"/>
    <mergeCell ref="E13:G13"/>
    <mergeCell ref="I13:M13"/>
    <mergeCell ref="T13:V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'Lookup Commercial Term'!$F$18:$F$19</xm:f>
          </x14:formula1>
          <xm:sqref>K35:M35</xm:sqref>
        </x14:dataValidation>
        <x14:dataValidation type="list" allowBlank="1" showInputMessage="1" showErrorMessage="1">
          <x14:formula1>
            <xm:f>'Lookup Commercial Term'!$B$4:$B$5</xm:f>
          </x14:formula1>
          <xm:sqref>K29:M29 K31:M31</xm:sqref>
        </x14:dataValidation>
        <x14:dataValidation type="list" allowBlank="1" showInputMessage="1" showErrorMessage="1">
          <x14:formula1>
            <xm:f>'Lookup Commercial Term'!$K$4:$K$5</xm:f>
          </x14:formula1>
          <xm:sqref>H33:I33 C22:D22</xm:sqref>
        </x14:dataValidation>
        <x14:dataValidation type="list" allowBlank="1" showInputMessage="1" showErrorMessage="1">
          <x14:formula1>
            <xm:f>'Lookup Commercial Term'!$E$3:$E$4</xm:f>
          </x14:formula1>
          <xm:sqref>E13:G13</xm:sqref>
        </x14:dataValidation>
        <x14:dataValidation type="list" allowBlank="1" showInputMessage="1" showErrorMessage="1">
          <x14:formula1>
            <xm:f>'Lookup Commercial Term'!$H$3:$H$5</xm:f>
          </x14:formula1>
          <xm:sqref>I15:M15 F22:G22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V63"/>
  <sheetViews>
    <sheetView zoomScale="80" zoomScaleNormal="80" workbookViewId="0">
      <selection activeCell="E9" sqref="E9"/>
    </sheetView>
  </sheetViews>
  <sheetFormatPr defaultColWidth="9.140625" defaultRowHeight="15" x14ac:dyDescent="0.25"/>
  <cols>
    <col min="1" max="14" width="9.140625" style="14"/>
    <col min="15" max="15" width="12.42578125" style="14" customWidth="1"/>
    <col min="16" max="20" width="9.140625" style="14"/>
    <col min="21" max="21" width="15.85546875" style="14" bestFit="1" customWidth="1"/>
    <col min="22" max="22" width="16.7109375" style="14" bestFit="1" customWidth="1"/>
    <col min="23" max="23" width="13.7109375" style="14" bestFit="1" customWidth="1"/>
    <col min="24" max="16384" width="9.140625" style="14"/>
  </cols>
  <sheetData>
    <row r="2" spans="2:22" x14ac:dyDescent="0.25">
      <c r="U2" s="14" t="s">
        <v>51</v>
      </c>
      <c r="V2" s="14" t="s">
        <v>52</v>
      </c>
    </row>
    <row r="3" spans="2:22" x14ac:dyDescent="0.25">
      <c r="B3" s="15" t="s">
        <v>7</v>
      </c>
      <c r="C3" s="15"/>
      <c r="D3" s="15"/>
      <c r="E3" s="15" t="s">
        <v>16</v>
      </c>
      <c r="F3" s="15"/>
      <c r="G3" s="15"/>
      <c r="H3" s="15" t="s">
        <v>7</v>
      </c>
      <c r="I3" s="15"/>
      <c r="J3" s="15"/>
      <c r="K3" s="15" t="s">
        <v>7</v>
      </c>
      <c r="L3" s="15"/>
      <c r="M3" s="15"/>
      <c r="N3" s="15"/>
      <c r="O3" s="15"/>
      <c r="P3" s="16" t="s">
        <v>28</v>
      </c>
      <c r="Q3" s="15"/>
      <c r="U3" s="14" t="s">
        <v>21</v>
      </c>
      <c r="V3" s="31">
        <f ca="1">ROUND((('Commercial Term ICR'!K24+('Commercial Term ICR'!I24*365.25/12))-TODAY())/365.25,0)</f>
        <v>-13</v>
      </c>
    </row>
    <row r="4" spans="2:22" x14ac:dyDescent="0.25">
      <c r="B4" s="15" t="s">
        <v>18</v>
      </c>
      <c r="C4" s="15"/>
      <c r="D4" s="15"/>
      <c r="E4" s="15" t="s">
        <v>61</v>
      </c>
      <c r="F4" s="15"/>
      <c r="G4" s="15"/>
      <c r="H4" s="15" t="s">
        <v>8</v>
      </c>
      <c r="I4" s="15"/>
      <c r="J4" s="15"/>
      <c r="K4" s="15" t="s">
        <v>10</v>
      </c>
      <c r="L4" s="15"/>
      <c r="M4" s="15"/>
      <c r="N4" s="15"/>
      <c r="O4" s="15"/>
      <c r="P4" s="17">
        <f>IR_Stress!E4*100</f>
        <v>1</v>
      </c>
      <c r="Q4" s="18" t="s">
        <v>4</v>
      </c>
      <c r="U4" s="14" t="s">
        <v>48</v>
      </c>
    </row>
    <row r="5" spans="2:22" x14ac:dyDescent="0.25">
      <c r="B5" s="15" t="s">
        <v>19</v>
      </c>
      <c r="C5" s="15"/>
      <c r="D5" s="15"/>
      <c r="E5" s="15"/>
      <c r="F5" s="15"/>
      <c r="G5" s="15"/>
      <c r="H5" s="15" t="s">
        <v>9</v>
      </c>
      <c r="I5" s="15"/>
      <c r="J5" s="15"/>
      <c r="K5" s="15" t="s">
        <v>11</v>
      </c>
      <c r="L5" s="15"/>
      <c r="M5" s="15"/>
      <c r="N5" s="15"/>
      <c r="O5" s="15"/>
      <c r="P5" s="15"/>
      <c r="Q5" s="15"/>
    </row>
    <row r="6" spans="2:22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49</v>
      </c>
      <c r="P6" s="15" t="s">
        <v>50</v>
      </c>
      <c r="Q6" s="15"/>
    </row>
    <row r="7" spans="2:22" x14ac:dyDescent="0.25">
      <c r="B7" s="19"/>
      <c r="C7" s="15"/>
      <c r="D7" s="15"/>
      <c r="E7" s="20"/>
      <c r="F7" s="20"/>
      <c r="G7" s="20"/>
      <c r="H7" s="20"/>
      <c r="I7" s="20"/>
      <c r="J7" s="20"/>
      <c r="K7" s="20"/>
      <c r="L7" s="15"/>
      <c r="M7" s="15"/>
      <c r="N7" s="15"/>
      <c r="O7" s="32">
        <v>0</v>
      </c>
      <c r="P7" s="20">
        <v>6</v>
      </c>
      <c r="Q7" s="15"/>
    </row>
    <row r="8" spans="2:22" x14ac:dyDescent="0.25">
      <c r="B8" s="19" t="s">
        <v>21</v>
      </c>
      <c r="C8" s="15"/>
      <c r="D8" s="15" t="s">
        <v>29</v>
      </c>
      <c r="E8" s="212" t="s">
        <v>111</v>
      </c>
      <c r="F8" s="19" t="s">
        <v>35</v>
      </c>
      <c r="G8" s="15"/>
      <c r="H8" s="15" t="s">
        <v>31</v>
      </c>
      <c r="I8" s="15"/>
      <c r="J8" s="15"/>
      <c r="K8" s="15"/>
      <c r="L8" s="15"/>
      <c r="M8" s="15"/>
      <c r="N8" s="15"/>
      <c r="O8" s="32">
        <v>0.01</v>
      </c>
      <c r="P8" s="20">
        <v>5</v>
      </c>
      <c r="Q8" s="15"/>
    </row>
    <row r="9" spans="2:22" x14ac:dyDescent="0.25">
      <c r="B9" s="15" t="s">
        <v>23</v>
      </c>
      <c r="C9" s="36">
        <f>(IF('Commercial Term ICR'!$O$30="Projected",'Commercial Term ICR'!$I$30*90%, IF('Commercial Term ICR'!$O$30="Actual",'Commercial Term ICR'!$I$30,"")))</f>
        <v>8000</v>
      </c>
      <c r="D9" s="36">
        <f>(IF('Commercial Term ICR'!$O$30="Projected",'Commercial Term ICR'!$I$30*90%, IF('Commercial Term ICR'!$O$30="Actual",'Commercial Term ICR'!$I$30,"")))</f>
        <v>8000</v>
      </c>
      <c r="E9" s="36">
        <f>(IF('Serviced Bridge ICR'!$O$30="Projected",'Serviced Bridge ICR'!$I$30*90%, IF('Serviced Bridge ICR'!$O$30="Actual",'Serviced Bridge ICR'!$I$30,"")))</f>
        <v>5000</v>
      </c>
      <c r="F9" s="21">
        <v>1.25</v>
      </c>
      <c r="G9" s="15"/>
      <c r="H9" s="15" t="s">
        <v>10</v>
      </c>
      <c r="I9" s="15"/>
      <c r="J9" s="15"/>
      <c r="K9" s="15"/>
      <c r="L9" s="15"/>
      <c r="M9" s="15"/>
      <c r="N9" s="15"/>
      <c r="O9" s="32">
        <v>0.02</v>
      </c>
      <c r="P9" s="20">
        <v>4</v>
      </c>
      <c r="Q9" s="15"/>
    </row>
    <row r="10" spans="2:22" x14ac:dyDescent="0.25">
      <c r="B10" s="15" t="s">
        <v>24</v>
      </c>
      <c r="C10" s="36">
        <f>IF('Commercial Term ICR'!C24="Yes",'Commercial Term ICR'!T16+'Commercial Term ICR'!R24,'Commercial Term ICR'!T16)</f>
        <v>3303.7684220440415</v>
      </c>
      <c r="D10" s="36">
        <f>IF('Commercial Term ICR'!C24="Yes",'Commercial Term ICR'!T18+'Commercial Term ICR'!U24,'Commercial Term ICR'!T18)</f>
        <v>3443.7502822980623</v>
      </c>
      <c r="E10" s="36">
        <f>'Serviced Bridge ICR'!T16</f>
        <v>3303.7684220440415</v>
      </c>
      <c r="F10" s="21">
        <v>1.45</v>
      </c>
      <c r="G10" s="15"/>
      <c r="H10" s="15" t="s">
        <v>11</v>
      </c>
      <c r="I10" s="15"/>
      <c r="J10" s="15"/>
      <c r="K10" s="15"/>
      <c r="L10" s="15"/>
      <c r="M10" s="15"/>
      <c r="N10" s="15"/>
      <c r="O10" s="32">
        <v>0.03</v>
      </c>
      <c r="P10" s="20">
        <v>3</v>
      </c>
      <c r="Q10" s="15"/>
    </row>
    <row r="11" spans="2:22" x14ac:dyDescent="0.25">
      <c r="B11" s="15"/>
      <c r="C11" s="35">
        <f>C9/C10</f>
        <v>2.4214772278289409</v>
      </c>
      <c r="D11" s="35">
        <f>D9/D10</f>
        <v>2.3230488113852115</v>
      </c>
      <c r="E11" s="213">
        <f>E9/E10</f>
        <v>1.5134232673930881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2:22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P12" s="34">
        <f>VLOOKUP(IR_Stress!E4,$O$7:$P$10,2,FALSE())</f>
        <v>5</v>
      </c>
      <c r="Q12" s="15"/>
    </row>
    <row r="13" spans="2:22" x14ac:dyDescent="0.25">
      <c r="B13" s="15"/>
      <c r="C13" s="15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2:22" x14ac:dyDescent="0.25">
      <c r="B14" s="15"/>
      <c r="C14" s="15" t="s">
        <v>60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7" spans="2:11" x14ac:dyDescent="0.25">
      <c r="B17" s="6" t="s">
        <v>36</v>
      </c>
      <c r="F17" s="14" t="s">
        <v>7</v>
      </c>
    </row>
    <row r="18" spans="2:11" ht="15.75" x14ac:dyDescent="0.25">
      <c r="B18" s="13">
        <v>1.2</v>
      </c>
      <c r="F18" s="102" t="s">
        <v>63</v>
      </c>
      <c r="G18" s="102"/>
      <c r="H18" s="102"/>
      <c r="I18" s="102"/>
    </row>
    <row r="19" spans="2:11" x14ac:dyDescent="0.25">
      <c r="F19" s="22" t="s">
        <v>72</v>
      </c>
      <c r="G19" s="22"/>
      <c r="H19" s="22"/>
      <c r="I19" s="22"/>
    </row>
    <row r="20" spans="2:11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2:1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2:11" ht="30" x14ac:dyDescent="0.25">
      <c r="B22" s="26" t="s">
        <v>43</v>
      </c>
      <c r="C22" s="27" t="s">
        <v>39</v>
      </c>
      <c r="D22" s="27" t="s">
        <v>40</v>
      </c>
      <c r="E22" s="27" t="s">
        <v>41</v>
      </c>
      <c r="F22" s="27" t="s">
        <v>42</v>
      </c>
      <c r="G22" s="33">
        <v>0</v>
      </c>
      <c r="H22" s="15"/>
      <c r="I22" s="15"/>
      <c r="J22" s="15"/>
      <c r="K22" s="15"/>
    </row>
    <row r="23" spans="2:11" x14ac:dyDescent="0.25">
      <c r="B23" s="28">
        <v>0</v>
      </c>
      <c r="C23" s="29">
        <f>D23</f>
        <v>0</v>
      </c>
      <c r="D23" s="30">
        <v>0</v>
      </c>
      <c r="E23" s="30">
        <f>ROUND(C23*(2/3),2)</f>
        <v>0</v>
      </c>
      <c r="F23" s="30">
        <f>ROUND(C23*(1/3),2)</f>
        <v>0</v>
      </c>
      <c r="G23" s="30">
        <v>0</v>
      </c>
      <c r="I23" s="24"/>
      <c r="J23" s="23">
        <v>1</v>
      </c>
      <c r="K23" s="15"/>
    </row>
    <row r="24" spans="2:11" x14ac:dyDescent="0.25">
      <c r="B24" s="28">
        <v>1</v>
      </c>
      <c r="C24" s="29">
        <f t="shared" ref="C24:C63" si="0">D24</f>
        <v>0.02</v>
      </c>
      <c r="D24" s="30">
        <v>0.02</v>
      </c>
      <c r="E24" s="30">
        <f t="shared" ref="E24:E63" si="1">ROUND(C24*(2/3),2)</f>
        <v>0.01</v>
      </c>
      <c r="F24" s="30">
        <f t="shared" ref="F24:F63" si="2">ROUND(C24*(1/3),2)</f>
        <v>0.01</v>
      </c>
      <c r="G24" s="30">
        <v>0</v>
      </c>
      <c r="H24" s="25"/>
      <c r="I24" s="24"/>
      <c r="J24" s="25"/>
      <c r="K24" s="15"/>
    </row>
    <row r="25" spans="2:11" x14ac:dyDescent="0.25">
      <c r="B25" s="28">
        <v>2</v>
      </c>
      <c r="C25" s="29">
        <f t="shared" si="0"/>
        <v>0.03</v>
      </c>
      <c r="D25" s="30">
        <v>0.03</v>
      </c>
      <c r="E25" s="30">
        <f t="shared" si="1"/>
        <v>0.02</v>
      </c>
      <c r="F25" s="30">
        <f t="shared" si="2"/>
        <v>0.01</v>
      </c>
      <c r="G25" s="30">
        <v>0</v>
      </c>
    </row>
    <row r="26" spans="2:11" x14ac:dyDescent="0.25">
      <c r="B26" s="28">
        <v>3</v>
      </c>
      <c r="C26" s="29">
        <f t="shared" si="0"/>
        <v>0.05</v>
      </c>
      <c r="D26" s="30">
        <v>0.05</v>
      </c>
      <c r="E26" s="30">
        <f t="shared" si="1"/>
        <v>0.03</v>
      </c>
      <c r="F26" s="30">
        <f t="shared" si="2"/>
        <v>0.02</v>
      </c>
      <c r="G26" s="30">
        <v>0</v>
      </c>
    </row>
    <row r="27" spans="2:11" x14ac:dyDescent="0.25">
      <c r="B27" s="28">
        <v>4</v>
      </c>
      <c r="C27" s="29">
        <f t="shared" si="0"/>
        <v>0.06</v>
      </c>
      <c r="D27" s="30">
        <v>0.06</v>
      </c>
      <c r="E27" s="30">
        <f t="shared" si="1"/>
        <v>0.04</v>
      </c>
      <c r="F27" s="30">
        <f t="shared" si="2"/>
        <v>0.02</v>
      </c>
      <c r="G27" s="30">
        <v>0</v>
      </c>
    </row>
    <row r="28" spans="2:11" x14ac:dyDescent="0.25">
      <c r="B28" s="28">
        <v>5</v>
      </c>
      <c r="C28" s="29">
        <f t="shared" si="0"/>
        <v>7.0000000000000007E-2</v>
      </c>
      <c r="D28" s="30">
        <v>7.0000000000000007E-2</v>
      </c>
      <c r="E28" s="30">
        <f t="shared" si="1"/>
        <v>0.05</v>
      </c>
      <c r="F28" s="30">
        <f t="shared" si="2"/>
        <v>0.02</v>
      </c>
      <c r="G28" s="30">
        <v>0</v>
      </c>
    </row>
    <row r="29" spans="2:11" x14ac:dyDescent="0.25">
      <c r="B29" s="28">
        <v>6</v>
      </c>
      <c r="C29" s="29">
        <f t="shared" si="0"/>
        <v>0.09</v>
      </c>
      <c r="D29" s="30">
        <v>0.09</v>
      </c>
      <c r="E29" s="30">
        <f t="shared" si="1"/>
        <v>0.06</v>
      </c>
      <c r="F29" s="30">
        <f>ROUND(C29*(1/3),2)</f>
        <v>0.03</v>
      </c>
      <c r="G29" s="30">
        <v>0</v>
      </c>
    </row>
    <row r="30" spans="2:11" x14ac:dyDescent="0.25">
      <c r="B30" s="28">
        <v>7</v>
      </c>
      <c r="C30" s="29">
        <f t="shared" si="0"/>
        <v>0.1</v>
      </c>
      <c r="D30" s="30">
        <v>0.1</v>
      </c>
      <c r="E30" s="30">
        <f t="shared" si="1"/>
        <v>7.0000000000000007E-2</v>
      </c>
      <c r="F30" s="30">
        <f>ROUND(C30*(1/3),2)</f>
        <v>0.03</v>
      </c>
      <c r="G30" s="30">
        <v>0</v>
      </c>
    </row>
    <row r="31" spans="2:11" x14ac:dyDescent="0.25">
      <c r="B31" s="28">
        <v>8</v>
      </c>
      <c r="C31" s="29">
        <f t="shared" si="0"/>
        <v>0.12</v>
      </c>
      <c r="D31" s="30">
        <v>0.12</v>
      </c>
      <c r="E31" s="30">
        <f t="shared" si="1"/>
        <v>0.08</v>
      </c>
      <c r="F31" s="30">
        <f t="shared" si="2"/>
        <v>0.04</v>
      </c>
      <c r="G31" s="30">
        <v>0</v>
      </c>
    </row>
    <row r="32" spans="2:11" x14ac:dyDescent="0.25">
      <c r="B32" s="28">
        <v>9</v>
      </c>
      <c r="C32" s="29">
        <f t="shared" si="0"/>
        <v>0.13</v>
      </c>
      <c r="D32" s="30">
        <v>0.13</v>
      </c>
      <c r="E32" s="30">
        <f t="shared" si="1"/>
        <v>0.09</v>
      </c>
      <c r="F32" s="30">
        <f t="shared" si="2"/>
        <v>0.04</v>
      </c>
      <c r="G32" s="30">
        <v>0</v>
      </c>
    </row>
    <row r="33" spans="2:7" x14ac:dyDescent="0.25">
      <c r="B33" s="28">
        <v>10</v>
      </c>
      <c r="C33" s="29">
        <f t="shared" si="0"/>
        <v>0.14000000000000001</v>
      </c>
      <c r="D33" s="30">
        <v>0.14000000000000001</v>
      </c>
      <c r="E33" s="30">
        <f t="shared" si="1"/>
        <v>0.09</v>
      </c>
      <c r="F33" s="30">
        <f t="shared" si="2"/>
        <v>0.05</v>
      </c>
      <c r="G33" s="30">
        <v>0</v>
      </c>
    </row>
    <row r="34" spans="2:7" x14ac:dyDescent="0.25">
      <c r="B34" s="28">
        <v>11</v>
      </c>
      <c r="C34" s="29">
        <f t="shared" si="0"/>
        <v>0.16</v>
      </c>
      <c r="D34" s="30">
        <v>0.16</v>
      </c>
      <c r="E34" s="30">
        <f t="shared" si="1"/>
        <v>0.11</v>
      </c>
      <c r="F34" s="30">
        <f t="shared" si="2"/>
        <v>0.05</v>
      </c>
      <c r="G34" s="30">
        <v>0</v>
      </c>
    </row>
    <row r="35" spans="2:7" x14ac:dyDescent="0.25">
      <c r="B35" s="28">
        <v>12</v>
      </c>
      <c r="C35" s="29">
        <f t="shared" si="0"/>
        <v>0.17</v>
      </c>
      <c r="D35" s="30">
        <v>0.17</v>
      </c>
      <c r="E35" s="30">
        <f t="shared" si="1"/>
        <v>0.11</v>
      </c>
      <c r="F35" s="30">
        <f t="shared" si="2"/>
        <v>0.06</v>
      </c>
      <c r="G35" s="30">
        <v>0</v>
      </c>
    </row>
    <row r="36" spans="2:7" x14ac:dyDescent="0.25">
      <c r="B36" s="28">
        <v>13</v>
      </c>
      <c r="C36" s="29">
        <f t="shared" si="0"/>
        <v>0.18</v>
      </c>
      <c r="D36" s="30">
        <v>0.18</v>
      </c>
      <c r="E36" s="30">
        <f t="shared" si="1"/>
        <v>0.12</v>
      </c>
      <c r="F36" s="30">
        <f t="shared" si="2"/>
        <v>0.06</v>
      </c>
      <c r="G36" s="30">
        <v>0</v>
      </c>
    </row>
    <row r="37" spans="2:7" x14ac:dyDescent="0.25">
      <c r="B37" s="28">
        <v>14</v>
      </c>
      <c r="C37" s="29">
        <f t="shared" si="0"/>
        <v>0.2</v>
      </c>
      <c r="D37" s="30">
        <v>0.2</v>
      </c>
      <c r="E37" s="30">
        <f t="shared" si="1"/>
        <v>0.13</v>
      </c>
      <c r="F37" s="30">
        <f t="shared" si="2"/>
        <v>7.0000000000000007E-2</v>
      </c>
      <c r="G37" s="30">
        <v>0</v>
      </c>
    </row>
    <row r="38" spans="2:7" x14ac:dyDescent="0.25">
      <c r="B38" s="28">
        <v>15</v>
      </c>
      <c r="C38" s="29">
        <f t="shared" si="0"/>
        <v>0.21</v>
      </c>
      <c r="D38" s="30">
        <v>0.21</v>
      </c>
      <c r="E38" s="30">
        <f t="shared" si="1"/>
        <v>0.14000000000000001</v>
      </c>
      <c r="F38" s="30">
        <f t="shared" si="2"/>
        <v>7.0000000000000007E-2</v>
      </c>
      <c r="G38" s="30">
        <v>0</v>
      </c>
    </row>
    <row r="39" spans="2:7" x14ac:dyDescent="0.25">
      <c r="B39" s="28">
        <v>16</v>
      </c>
      <c r="C39" s="29">
        <f t="shared" si="0"/>
        <v>0.22</v>
      </c>
      <c r="D39" s="30">
        <v>0.22</v>
      </c>
      <c r="E39" s="30">
        <f t="shared" si="1"/>
        <v>0.15</v>
      </c>
      <c r="F39" s="30">
        <f t="shared" si="2"/>
        <v>7.0000000000000007E-2</v>
      </c>
      <c r="G39" s="30">
        <v>0</v>
      </c>
    </row>
    <row r="40" spans="2:7" x14ac:dyDescent="0.25">
      <c r="B40" s="28">
        <v>17</v>
      </c>
      <c r="C40" s="29">
        <f t="shared" si="0"/>
        <v>0.23</v>
      </c>
      <c r="D40" s="30">
        <v>0.23</v>
      </c>
      <c r="E40" s="30">
        <f t="shared" si="1"/>
        <v>0.15</v>
      </c>
      <c r="F40" s="30">
        <f t="shared" si="2"/>
        <v>0.08</v>
      </c>
      <c r="G40" s="30">
        <v>0</v>
      </c>
    </row>
    <row r="41" spans="2:7" x14ac:dyDescent="0.25">
      <c r="B41" s="28">
        <v>18</v>
      </c>
      <c r="C41" s="29">
        <f t="shared" si="0"/>
        <v>0.24</v>
      </c>
      <c r="D41" s="30">
        <v>0.24</v>
      </c>
      <c r="E41" s="30">
        <f t="shared" si="1"/>
        <v>0.16</v>
      </c>
      <c r="F41" s="30">
        <f t="shared" si="2"/>
        <v>0.08</v>
      </c>
      <c r="G41" s="30">
        <v>0</v>
      </c>
    </row>
    <row r="42" spans="2:7" x14ac:dyDescent="0.25">
      <c r="B42" s="28">
        <v>19</v>
      </c>
      <c r="C42" s="29">
        <f t="shared" si="0"/>
        <v>0.26</v>
      </c>
      <c r="D42" s="30">
        <v>0.26</v>
      </c>
      <c r="E42" s="30">
        <f t="shared" si="1"/>
        <v>0.17</v>
      </c>
      <c r="F42" s="30">
        <f t="shared" si="2"/>
        <v>0.09</v>
      </c>
      <c r="G42" s="30">
        <v>0</v>
      </c>
    </row>
    <row r="43" spans="2:7" x14ac:dyDescent="0.25">
      <c r="B43" s="28">
        <v>20</v>
      </c>
      <c r="C43" s="29">
        <f t="shared" si="0"/>
        <v>0.27</v>
      </c>
      <c r="D43" s="30">
        <v>0.27</v>
      </c>
      <c r="E43" s="30">
        <f t="shared" si="1"/>
        <v>0.18</v>
      </c>
      <c r="F43" s="30">
        <f t="shared" si="2"/>
        <v>0.09</v>
      </c>
      <c r="G43" s="30">
        <v>0</v>
      </c>
    </row>
    <row r="44" spans="2:7" x14ac:dyDescent="0.25">
      <c r="B44" s="28">
        <v>21</v>
      </c>
      <c r="C44" s="29">
        <f t="shared" si="0"/>
        <v>0.28000000000000003</v>
      </c>
      <c r="D44" s="30">
        <v>0.28000000000000003</v>
      </c>
      <c r="E44" s="30">
        <f t="shared" si="1"/>
        <v>0.19</v>
      </c>
      <c r="F44" s="30">
        <f t="shared" si="2"/>
        <v>0.09</v>
      </c>
      <c r="G44" s="30">
        <v>0</v>
      </c>
    </row>
    <row r="45" spans="2:7" x14ac:dyDescent="0.25">
      <c r="B45" s="28">
        <v>22</v>
      </c>
      <c r="C45" s="29">
        <f t="shared" si="0"/>
        <v>0.28999999999999998</v>
      </c>
      <c r="D45" s="30">
        <v>0.28999999999999998</v>
      </c>
      <c r="E45" s="30">
        <f t="shared" si="1"/>
        <v>0.19</v>
      </c>
      <c r="F45" s="30">
        <f t="shared" si="2"/>
        <v>0.1</v>
      </c>
      <c r="G45" s="30">
        <v>0</v>
      </c>
    </row>
    <row r="46" spans="2:7" x14ac:dyDescent="0.25">
      <c r="B46" s="28">
        <v>23</v>
      </c>
      <c r="C46" s="29">
        <f t="shared" si="0"/>
        <v>0.3</v>
      </c>
      <c r="D46" s="30">
        <v>0.3</v>
      </c>
      <c r="E46" s="30">
        <f t="shared" si="1"/>
        <v>0.2</v>
      </c>
      <c r="F46" s="30">
        <f t="shared" si="2"/>
        <v>0.1</v>
      </c>
      <c r="G46" s="30">
        <v>0</v>
      </c>
    </row>
    <row r="47" spans="2:7" x14ac:dyDescent="0.25">
      <c r="B47" s="28">
        <v>24</v>
      </c>
      <c r="C47" s="29">
        <f t="shared" si="0"/>
        <v>0.31</v>
      </c>
      <c r="D47" s="30">
        <v>0.31</v>
      </c>
      <c r="E47" s="30">
        <f t="shared" si="1"/>
        <v>0.21</v>
      </c>
      <c r="F47" s="30">
        <f t="shared" si="2"/>
        <v>0.1</v>
      </c>
      <c r="G47" s="30">
        <v>0</v>
      </c>
    </row>
    <row r="48" spans="2:7" x14ac:dyDescent="0.25">
      <c r="B48" s="28">
        <v>25</v>
      </c>
      <c r="C48" s="29">
        <f t="shared" si="0"/>
        <v>0.32</v>
      </c>
      <c r="D48" s="30">
        <v>0.32</v>
      </c>
      <c r="E48" s="30">
        <f t="shared" si="1"/>
        <v>0.21</v>
      </c>
      <c r="F48" s="30">
        <f t="shared" si="2"/>
        <v>0.11</v>
      </c>
      <c r="G48" s="30">
        <v>0</v>
      </c>
    </row>
    <row r="49" spans="2:7" x14ac:dyDescent="0.25">
      <c r="B49" s="28">
        <v>26</v>
      </c>
      <c r="C49" s="29">
        <f t="shared" si="0"/>
        <v>0.33</v>
      </c>
      <c r="D49" s="30">
        <v>0.33</v>
      </c>
      <c r="E49" s="30">
        <f t="shared" si="1"/>
        <v>0.22</v>
      </c>
      <c r="F49" s="30">
        <f t="shared" si="2"/>
        <v>0.11</v>
      </c>
      <c r="G49" s="30">
        <v>0</v>
      </c>
    </row>
    <row r="50" spans="2:7" x14ac:dyDescent="0.25">
      <c r="B50" s="28">
        <v>27</v>
      </c>
      <c r="C50" s="29">
        <f t="shared" si="0"/>
        <v>0.34</v>
      </c>
      <c r="D50" s="30">
        <v>0.34</v>
      </c>
      <c r="E50" s="30">
        <f t="shared" si="1"/>
        <v>0.23</v>
      </c>
      <c r="F50" s="30">
        <f t="shared" si="2"/>
        <v>0.11</v>
      </c>
      <c r="G50" s="30">
        <v>0</v>
      </c>
    </row>
    <row r="51" spans="2:7" x14ac:dyDescent="0.25">
      <c r="B51" s="28">
        <v>28</v>
      </c>
      <c r="C51" s="29">
        <f t="shared" si="0"/>
        <v>0.35</v>
      </c>
      <c r="D51" s="30">
        <v>0.35</v>
      </c>
      <c r="E51" s="30">
        <f t="shared" si="1"/>
        <v>0.23</v>
      </c>
      <c r="F51" s="30">
        <f t="shared" si="2"/>
        <v>0.12</v>
      </c>
      <c r="G51" s="30">
        <v>0</v>
      </c>
    </row>
    <row r="52" spans="2:7" x14ac:dyDescent="0.25">
      <c r="B52" s="28">
        <v>29</v>
      </c>
      <c r="C52" s="29">
        <f t="shared" si="0"/>
        <v>0.36</v>
      </c>
      <c r="D52" s="30">
        <v>0.36</v>
      </c>
      <c r="E52" s="30">
        <f t="shared" si="1"/>
        <v>0.24</v>
      </c>
      <c r="F52" s="30">
        <f t="shared" si="2"/>
        <v>0.12</v>
      </c>
      <c r="G52" s="30">
        <v>0</v>
      </c>
    </row>
    <row r="53" spans="2:7" x14ac:dyDescent="0.25">
      <c r="B53" s="28">
        <v>30</v>
      </c>
      <c r="C53" s="29">
        <f t="shared" si="0"/>
        <v>0.37</v>
      </c>
      <c r="D53" s="30">
        <v>0.37</v>
      </c>
      <c r="E53" s="30">
        <f t="shared" si="1"/>
        <v>0.25</v>
      </c>
      <c r="F53" s="30">
        <f t="shared" si="2"/>
        <v>0.12</v>
      </c>
      <c r="G53" s="30">
        <v>0</v>
      </c>
    </row>
    <row r="54" spans="2:7" x14ac:dyDescent="0.25">
      <c r="B54" s="28">
        <v>31</v>
      </c>
      <c r="C54" s="29">
        <f t="shared" si="0"/>
        <v>0.38</v>
      </c>
      <c r="D54" s="30">
        <v>0.38</v>
      </c>
      <c r="E54" s="30">
        <f t="shared" si="1"/>
        <v>0.25</v>
      </c>
      <c r="F54" s="30">
        <f t="shared" si="2"/>
        <v>0.13</v>
      </c>
      <c r="G54" s="30">
        <v>0</v>
      </c>
    </row>
    <row r="55" spans="2:7" x14ac:dyDescent="0.25">
      <c r="B55" s="28">
        <v>32</v>
      </c>
      <c r="C55" s="29">
        <f t="shared" si="0"/>
        <v>0.39</v>
      </c>
      <c r="D55" s="30">
        <v>0.39</v>
      </c>
      <c r="E55" s="30">
        <f t="shared" si="1"/>
        <v>0.26</v>
      </c>
      <c r="F55" s="30">
        <f t="shared" si="2"/>
        <v>0.13</v>
      </c>
      <c r="G55" s="30">
        <v>0</v>
      </c>
    </row>
    <row r="56" spans="2:7" x14ac:dyDescent="0.25">
      <c r="B56" s="28">
        <v>33</v>
      </c>
      <c r="C56" s="29">
        <f t="shared" si="0"/>
        <v>0.4</v>
      </c>
      <c r="D56" s="30">
        <v>0.4</v>
      </c>
      <c r="E56" s="30">
        <f t="shared" si="1"/>
        <v>0.27</v>
      </c>
      <c r="F56" s="30">
        <f t="shared" si="2"/>
        <v>0.13</v>
      </c>
      <c r="G56" s="30">
        <v>0</v>
      </c>
    </row>
    <row r="57" spans="2:7" x14ac:dyDescent="0.25">
      <c r="B57" s="28">
        <v>34</v>
      </c>
      <c r="C57" s="29">
        <f t="shared" si="0"/>
        <v>0.41</v>
      </c>
      <c r="D57" s="30">
        <v>0.41</v>
      </c>
      <c r="E57" s="30">
        <f t="shared" si="1"/>
        <v>0.27</v>
      </c>
      <c r="F57" s="30">
        <f t="shared" si="2"/>
        <v>0.14000000000000001</v>
      </c>
      <c r="G57" s="30">
        <v>0</v>
      </c>
    </row>
    <row r="58" spans="2:7" x14ac:dyDescent="0.25">
      <c r="B58" s="28">
        <v>35</v>
      </c>
      <c r="C58" s="29">
        <f t="shared" si="0"/>
        <v>0.42</v>
      </c>
      <c r="D58" s="30">
        <v>0.42</v>
      </c>
      <c r="E58" s="30">
        <f t="shared" si="1"/>
        <v>0.28000000000000003</v>
      </c>
      <c r="F58" s="30">
        <f t="shared" si="2"/>
        <v>0.14000000000000001</v>
      </c>
      <c r="G58" s="30">
        <v>0</v>
      </c>
    </row>
    <row r="59" spans="2:7" x14ac:dyDescent="0.25">
      <c r="B59" s="28">
        <v>36</v>
      </c>
      <c r="C59" s="29">
        <f t="shared" si="0"/>
        <v>0.43</v>
      </c>
      <c r="D59" s="30">
        <v>0.43</v>
      </c>
      <c r="E59" s="30">
        <f t="shared" si="1"/>
        <v>0.28999999999999998</v>
      </c>
      <c r="F59" s="30">
        <f t="shared" si="2"/>
        <v>0.14000000000000001</v>
      </c>
      <c r="G59" s="30">
        <v>0</v>
      </c>
    </row>
    <row r="60" spans="2:7" x14ac:dyDescent="0.25">
      <c r="B60" s="28">
        <v>37</v>
      </c>
      <c r="C60" s="29">
        <f t="shared" si="0"/>
        <v>0.44</v>
      </c>
      <c r="D60" s="30">
        <v>0.44</v>
      </c>
      <c r="E60" s="30">
        <f t="shared" si="1"/>
        <v>0.28999999999999998</v>
      </c>
      <c r="F60" s="30">
        <f t="shared" si="2"/>
        <v>0.15</v>
      </c>
      <c r="G60" s="30">
        <v>0</v>
      </c>
    </row>
    <row r="61" spans="2:7" x14ac:dyDescent="0.25">
      <c r="B61" s="28">
        <v>38</v>
      </c>
      <c r="C61" s="29">
        <f t="shared" si="0"/>
        <v>0.45</v>
      </c>
      <c r="D61" s="30">
        <v>0.45</v>
      </c>
      <c r="E61" s="30">
        <f t="shared" si="1"/>
        <v>0.3</v>
      </c>
      <c r="F61" s="30">
        <f t="shared" si="2"/>
        <v>0.15</v>
      </c>
      <c r="G61" s="30">
        <v>0</v>
      </c>
    </row>
    <row r="62" spans="2:7" x14ac:dyDescent="0.25">
      <c r="B62" s="28">
        <v>39</v>
      </c>
      <c r="C62" s="29">
        <f t="shared" si="0"/>
        <v>0.46</v>
      </c>
      <c r="D62" s="30">
        <v>0.46</v>
      </c>
      <c r="E62" s="30">
        <f t="shared" si="1"/>
        <v>0.31</v>
      </c>
      <c r="F62" s="30">
        <f t="shared" si="2"/>
        <v>0.15</v>
      </c>
      <c r="G62" s="30">
        <v>0</v>
      </c>
    </row>
    <row r="63" spans="2:7" x14ac:dyDescent="0.25">
      <c r="B63" s="28">
        <v>40</v>
      </c>
      <c r="C63" s="29">
        <f t="shared" si="0"/>
        <v>0.47</v>
      </c>
      <c r="D63" s="30">
        <v>0.47</v>
      </c>
      <c r="E63" s="30">
        <f t="shared" si="1"/>
        <v>0.31</v>
      </c>
      <c r="F63" s="30">
        <f t="shared" si="2"/>
        <v>0.16</v>
      </c>
      <c r="G63" s="30">
        <v>0</v>
      </c>
    </row>
  </sheetData>
  <pageMargins left="0.7" right="0.7" top="0.75" bottom="0.75" header="0.3" footer="0.3"/>
  <pageSetup paperSize="9" orientation="portrait" horizontalDpi="300" verticalDpi="300" r:id="rId1"/>
  <ignoredErrors>
    <ignoredError sqref="D22:F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3F2C59"/>
    <pageSetUpPr fitToPage="1"/>
  </sheetPr>
  <dimension ref="A1:BA62"/>
  <sheetViews>
    <sheetView showGridLines="0" showRowColHeaders="0" zoomScale="80" zoomScaleNormal="80" workbookViewId="0">
      <selection activeCell="AM31" sqref="AM31"/>
    </sheetView>
  </sheetViews>
  <sheetFormatPr defaultColWidth="9.140625" defaultRowHeight="15" x14ac:dyDescent="0.25"/>
  <cols>
    <col min="1" max="1" width="12.7109375" style="67" customWidth="1"/>
    <col min="2" max="2" width="3.5703125" style="37" customWidth="1"/>
    <col min="3" max="10" width="10.140625" style="37" customWidth="1"/>
    <col min="11" max="11" width="11" style="37" bestFit="1" customWidth="1"/>
    <col min="12" max="19" width="10.140625" style="37" customWidth="1"/>
    <col min="20" max="20" width="4.85546875" style="37" customWidth="1"/>
    <col min="21" max="22" width="10.140625" style="37" customWidth="1"/>
    <col min="23" max="23" width="4.85546875" style="37" customWidth="1"/>
    <col min="24" max="25" width="10.140625" style="37" customWidth="1"/>
    <col min="26" max="26" width="4.28515625" style="37" customWidth="1"/>
    <col min="27" max="27" width="2.28515625" style="37" customWidth="1"/>
    <col min="28" max="28" width="9.140625" style="37" customWidth="1"/>
    <col min="29" max="29" width="21.140625" style="39" customWidth="1"/>
    <col min="30" max="30" width="12.7109375" style="37" customWidth="1"/>
    <col min="31" max="31" width="19.85546875" style="37" customWidth="1"/>
    <col min="32" max="32" width="3.85546875" style="37" customWidth="1"/>
    <col min="33" max="33" width="19.28515625" style="37" customWidth="1"/>
    <col min="34" max="34" width="14" style="37" customWidth="1"/>
    <col min="35" max="35" width="11.28515625" style="37" customWidth="1"/>
    <col min="36" max="36" width="12.140625" style="37" customWidth="1"/>
    <col min="37" max="38" width="15.7109375" style="37" customWidth="1"/>
    <col min="39" max="40" width="9.140625" style="37" customWidth="1"/>
    <col min="41" max="41" width="13.85546875" style="37" customWidth="1"/>
    <col min="42" max="43" width="9.140625" style="37" customWidth="1"/>
    <col min="44" max="44" width="11" style="37" customWidth="1"/>
    <col min="45" max="45" width="11.5703125" style="37" customWidth="1"/>
    <col min="46" max="47" width="11" style="37" customWidth="1"/>
    <col min="48" max="50" width="10.85546875" style="37" customWidth="1"/>
    <col min="51" max="53" width="11" style="40" customWidth="1"/>
    <col min="54" max="54" width="14.5703125" style="37" customWidth="1"/>
    <col min="55" max="56" width="9.140625" style="37" customWidth="1"/>
    <col min="57" max="58" width="10.42578125" style="37" customWidth="1"/>
    <col min="59" max="59" width="9.140625" style="37" customWidth="1"/>
    <col min="60" max="60" width="11.28515625" style="37" customWidth="1"/>
    <col min="61" max="61" width="10.140625" style="37" customWidth="1"/>
    <col min="62" max="105" width="9.140625" style="37" customWidth="1"/>
    <col min="106" max="16384" width="9.140625" style="37"/>
  </cols>
  <sheetData>
    <row r="1" spans="1:53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70"/>
      <c r="AD1" s="67"/>
      <c r="AE1" s="67"/>
      <c r="AF1" s="67"/>
      <c r="AG1" s="67"/>
      <c r="AH1" s="67"/>
      <c r="AI1" s="67"/>
      <c r="AJ1" s="67"/>
      <c r="AK1" s="67"/>
    </row>
    <row r="2" spans="1:53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70"/>
      <c r="AD2" s="67"/>
      <c r="AE2" s="67"/>
      <c r="AF2" s="67"/>
      <c r="AG2" s="67"/>
      <c r="AH2" s="67"/>
      <c r="AI2" s="67"/>
      <c r="AJ2" s="67"/>
      <c r="AK2" s="67"/>
    </row>
    <row r="3" spans="1:53" x14ac:dyDescent="0.2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70"/>
      <c r="AD3" s="67"/>
      <c r="AE3" s="67"/>
      <c r="AF3" s="67"/>
      <c r="AG3" s="67"/>
      <c r="AH3" s="67"/>
      <c r="AI3" s="67"/>
      <c r="AJ3" s="67"/>
      <c r="AK3" s="67"/>
    </row>
    <row r="4" spans="1:53" x14ac:dyDescent="0.2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70"/>
      <c r="AD4" s="67"/>
      <c r="AE4" s="67"/>
      <c r="AF4" s="67"/>
      <c r="AG4" s="67"/>
      <c r="AH4" s="67"/>
      <c r="AI4" s="67"/>
      <c r="AJ4" s="67"/>
      <c r="AK4" s="67"/>
    </row>
    <row r="5" spans="1:53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70"/>
      <c r="AD5" s="67"/>
      <c r="AE5" s="67"/>
      <c r="AF5" s="67"/>
      <c r="AG5" s="67"/>
      <c r="AH5" s="67"/>
      <c r="AI5" s="67"/>
      <c r="AJ5" s="67"/>
      <c r="AK5" s="67"/>
    </row>
    <row r="6" spans="1:53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70"/>
      <c r="AD6" s="67"/>
      <c r="AE6" s="67"/>
      <c r="AF6" s="67"/>
      <c r="AG6" s="67"/>
      <c r="AH6" s="67"/>
      <c r="AI6" s="67"/>
      <c r="AJ6" s="67"/>
      <c r="AK6" s="67"/>
    </row>
    <row r="7" spans="1:53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70"/>
      <c r="AD7" s="67"/>
      <c r="AE7" s="67"/>
      <c r="AF7" s="67"/>
      <c r="AG7" s="67"/>
      <c r="AH7" s="67"/>
      <c r="AI7" s="67"/>
      <c r="AJ7" s="67"/>
      <c r="AK7" s="67"/>
    </row>
    <row r="8" spans="1:53" ht="6.75" customHeight="1" x14ac:dyDescent="0.25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73"/>
      <c r="AD8" s="86"/>
      <c r="AE8" s="74"/>
      <c r="AF8" s="67"/>
      <c r="AG8" s="67"/>
      <c r="AH8" s="67"/>
      <c r="AI8" s="67"/>
      <c r="AJ8" s="67"/>
      <c r="AK8" s="67"/>
    </row>
    <row r="9" spans="1:53" ht="6" customHeight="1" thickBot="1" x14ac:dyDescent="0.3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70"/>
      <c r="AD9" s="67"/>
      <c r="AE9" s="67"/>
      <c r="AF9" s="67"/>
      <c r="AG9" s="67"/>
      <c r="AH9" s="67"/>
      <c r="AI9" s="67"/>
      <c r="AJ9" s="67"/>
      <c r="AK9" s="67"/>
    </row>
    <row r="10" spans="1:53" s="38" customFormat="1" ht="21.75" customHeight="1" x14ac:dyDescent="0.25">
      <c r="A10" s="68"/>
      <c r="B10" s="221" t="s">
        <v>12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3"/>
      <c r="AA10" s="68"/>
      <c r="AB10" s="68"/>
      <c r="AC10" s="69"/>
      <c r="AD10" s="68"/>
      <c r="AE10" s="68"/>
      <c r="AF10" s="68"/>
      <c r="AG10" s="68"/>
      <c r="AH10" s="68"/>
      <c r="AI10" s="68"/>
      <c r="AJ10" s="68"/>
      <c r="AK10" s="68"/>
      <c r="AL10" s="68"/>
      <c r="AY10" s="41"/>
      <c r="AZ10" s="41"/>
      <c r="BA10" s="41"/>
    </row>
    <row r="11" spans="1:53" ht="9" customHeight="1" x14ac:dyDescent="0.25">
      <c r="B11" s="45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6"/>
      <c r="AA11" s="67"/>
      <c r="AB11" s="67"/>
      <c r="AC11" s="70"/>
      <c r="AD11" s="71"/>
      <c r="AE11" s="71"/>
      <c r="AF11" s="71"/>
      <c r="AG11" s="67"/>
      <c r="AH11" s="67"/>
      <c r="AI11" s="67"/>
      <c r="AJ11" s="68"/>
      <c r="AK11" s="68"/>
      <c r="AL11" s="68"/>
    </row>
    <row r="12" spans="1:53" s="38" customFormat="1" ht="24.75" customHeight="1" x14ac:dyDescent="0.25">
      <c r="A12" s="68"/>
      <c r="B12" s="78"/>
      <c r="C12" s="47" t="s">
        <v>15</v>
      </c>
      <c r="D12" s="52"/>
      <c r="E12" s="49"/>
      <c r="F12" s="49"/>
      <c r="G12" s="49"/>
      <c r="H12" s="50" t="s">
        <v>0</v>
      </c>
      <c r="I12" s="224">
        <v>250000</v>
      </c>
      <c r="J12" s="225"/>
      <c r="K12" s="225"/>
      <c r="L12" s="225"/>
      <c r="M12" s="226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79"/>
      <c r="AA12" s="68"/>
      <c r="AB12" s="68"/>
      <c r="AC12" s="68"/>
      <c r="AD12" s="68"/>
      <c r="AE12" s="68"/>
      <c r="AF12" s="72"/>
      <c r="AG12" s="87"/>
      <c r="AH12" s="69"/>
      <c r="AI12" s="68"/>
      <c r="AJ12" s="68"/>
      <c r="AK12" s="68"/>
      <c r="AL12" s="68"/>
      <c r="AY12" s="41"/>
      <c r="AZ12" s="41"/>
      <c r="BA12" s="41"/>
    </row>
    <row r="13" spans="1:53" s="38" customFormat="1" ht="9" customHeight="1" x14ac:dyDescent="0.25">
      <c r="A13" s="68"/>
      <c r="B13" s="78"/>
      <c r="C13" s="52"/>
      <c r="D13" s="52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79"/>
      <c r="AA13" s="68"/>
      <c r="AB13" s="68"/>
      <c r="AC13" s="69"/>
      <c r="AD13" s="68"/>
      <c r="AE13" s="68"/>
      <c r="AF13" s="68"/>
      <c r="AG13" s="68"/>
      <c r="AH13" s="68"/>
      <c r="AI13" s="68"/>
      <c r="AJ13" s="68"/>
      <c r="AK13" s="68"/>
      <c r="AL13" s="68"/>
      <c r="AY13" s="41"/>
      <c r="AZ13" s="41"/>
      <c r="BA13" s="41"/>
    </row>
    <row r="14" spans="1:53" s="38" customFormat="1" ht="24.75" customHeight="1" x14ac:dyDescent="0.25">
      <c r="A14" s="68"/>
      <c r="B14" s="78"/>
      <c r="C14" s="47" t="s">
        <v>2</v>
      </c>
      <c r="D14" s="52"/>
      <c r="E14" s="49"/>
      <c r="F14" s="49"/>
      <c r="G14" s="49"/>
      <c r="H14" s="49"/>
      <c r="I14" s="227">
        <v>120</v>
      </c>
      <c r="J14" s="228"/>
      <c r="K14" s="228"/>
      <c r="L14" s="228"/>
      <c r="M14" s="229"/>
      <c r="N14" s="49" t="s">
        <v>5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79"/>
      <c r="AA14" s="68"/>
      <c r="AB14" s="68"/>
      <c r="AC14" s="86"/>
      <c r="AD14" s="86"/>
      <c r="AE14" s="88"/>
      <c r="AF14" s="72"/>
      <c r="AG14" s="89"/>
      <c r="AH14" s="68"/>
      <c r="AI14" s="68"/>
      <c r="AJ14" s="68"/>
      <c r="AK14" s="68"/>
      <c r="AL14" s="68"/>
      <c r="AY14" s="41"/>
      <c r="AZ14" s="41"/>
      <c r="BA14" s="41"/>
    </row>
    <row r="15" spans="1:53" s="38" customFormat="1" ht="9" customHeight="1" x14ac:dyDescent="0.25">
      <c r="A15" s="68"/>
      <c r="B15" s="78"/>
      <c r="C15" s="52"/>
      <c r="D15" s="52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79"/>
      <c r="AA15" s="68"/>
      <c r="AB15" s="68"/>
      <c r="AC15" s="69"/>
      <c r="AD15" s="68"/>
      <c r="AE15" s="68"/>
      <c r="AF15" s="68"/>
      <c r="AG15" s="68"/>
      <c r="AH15" s="68"/>
      <c r="AI15" s="68"/>
      <c r="AJ15" s="68"/>
      <c r="AK15" s="68"/>
      <c r="AL15" s="68"/>
      <c r="AY15" s="41"/>
      <c r="AZ15" s="41"/>
      <c r="BA15" s="41"/>
    </row>
    <row r="16" spans="1:53" s="38" customFormat="1" ht="24.75" customHeight="1" x14ac:dyDescent="0.25">
      <c r="A16" s="68"/>
      <c r="B16" s="78"/>
      <c r="C16" s="47" t="s">
        <v>1</v>
      </c>
      <c r="D16" s="52"/>
      <c r="E16" s="230" t="s">
        <v>16</v>
      </c>
      <c r="F16" s="231"/>
      <c r="G16" s="232"/>
      <c r="H16" s="49"/>
      <c r="I16" s="233">
        <v>10</v>
      </c>
      <c r="J16" s="234"/>
      <c r="K16" s="234"/>
      <c r="L16" s="234"/>
      <c r="M16" s="235"/>
      <c r="N16" s="49" t="s">
        <v>4</v>
      </c>
      <c r="O16" s="49" t="s">
        <v>13</v>
      </c>
      <c r="P16" s="49"/>
      <c r="Q16" s="49"/>
      <c r="R16" s="49"/>
      <c r="S16" s="50" t="s">
        <v>0</v>
      </c>
      <c r="T16" s="236">
        <f>IF(OR(I12="",I14="",I16="",I18=""),0,IF($I$18="Capital Repayment",-PMT(($I$16/100/12),$I$14,$I$12,0),IF($I$18="Interest Only",$I$12*($I$16/100/12),"")))</f>
        <v>3303.7684220440415</v>
      </c>
      <c r="U16" s="237"/>
      <c r="V16" s="237"/>
      <c r="W16" s="238"/>
      <c r="X16" s="59" t="s">
        <v>6</v>
      </c>
      <c r="Y16" s="49"/>
      <c r="Z16" s="79"/>
      <c r="AA16" s="68"/>
      <c r="AB16" s="68"/>
      <c r="AC16" s="90"/>
      <c r="AD16" s="68"/>
      <c r="AE16" s="68"/>
      <c r="AF16" s="91"/>
      <c r="AG16" s="92"/>
      <c r="AH16" s="75"/>
      <c r="AI16" s="68"/>
      <c r="AJ16" s="68"/>
      <c r="AK16" s="68"/>
      <c r="AL16" s="68"/>
      <c r="AY16" s="41"/>
      <c r="AZ16" s="41"/>
      <c r="BA16" s="41"/>
    </row>
    <row r="17" spans="1:53" s="38" customFormat="1" ht="8.25" customHeight="1" x14ac:dyDescent="0.25">
      <c r="A17" s="68"/>
      <c r="B17" s="78"/>
      <c r="C17" s="52"/>
      <c r="D17" s="52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79"/>
      <c r="AA17" s="68"/>
      <c r="AB17" s="68"/>
      <c r="AC17" s="69"/>
      <c r="AD17" s="68"/>
      <c r="AE17" s="68"/>
      <c r="AF17" s="68"/>
      <c r="AG17" s="68"/>
      <c r="AH17" s="75"/>
      <c r="AI17" s="68"/>
      <c r="AJ17" s="68"/>
      <c r="AK17" s="68"/>
      <c r="AL17" s="68"/>
      <c r="AY17" s="41"/>
      <c r="AZ17" s="41"/>
      <c r="BA17" s="41"/>
    </row>
    <row r="18" spans="1:53" s="38" customFormat="1" ht="24.6" customHeight="1" x14ac:dyDescent="0.25">
      <c r="A18" s="68"/>
      <c r="B18" s="78"/>
      <c r="C18" s="53" t="s">
        <v>3</v>
      </c>
      <c r="D18" s="54"/>
      <c r="E18" s="57"/>
      <c r="F18" s="57"/>
      <c r="G18" s="57"/>
      <c r="H18" s="57"/>
      <c r="I18" s="241" t="s">
        <v>8</v>
      </c>
      <c r="J18" s="242"/>
      <c r="K18" s="242"/>
      <c r="L18" s="242"/>
      <c r="M18" s="243"/>
      <c r="N18" s="49"/>
      <c r="O18" s="49" t="s">
        <v>14</v>
      </c>
      <c r="P18" s="60"/>
      <c r="Q18" s="49"/>
      <c r="R18" s="49"/>
      <c r="S18" s="50" t="s">
        <v>0</v>
      </c>
      <c r="T18" s="236">
        <f>IF(OR(I12="",I14="",I16="",I18="",E16="Please select"),0,IF($E$16="Fixed",$T$16,IF($I$18="Capital Repayment",-PMT((($I$16+'Lookup Commercial Term'!P4)/100/12),$I$14,$I$12,0),IF($I$18="Interest Only",$I$12*(($I$16+'Lookup Commercial Term'!P4)/100/12),""))))</f>
        <v>3443.7502822980623</v>
      </c>
      <c r="U18" s="237"/>
      <c r="V18" s="237"/>
      <c r="W18" s="238"/>
      <c r="X18" s="59" t="s">
        <v>6</v>
      </c>
      <c r="Y18" s="49"/>
      <c r="Z18" s="79"/>
      <c r="AA18" s="68"/>
      <c r="AB18" s="67"/>
      <c r="AC18" s="68"/>
      <c r="AD18" s="68"/>
      <c r="AE18" s="93"/>
      <c r="AF18" s="89"/>
      <c r="AG18" s="93"/>
      <c r="AH18" s="75"/>
      <c r="AI18" s="68"/>
      <c r="AJ18" s="68"/>
      <c r="AK18" s="68"/>
      <c r="AL18" s="68"/>
      <c r="AY18" s="41"/>
      <c r="AZ18" s="41"/>
      <c r="BA18" s="41"/>
    </row>
    <row r="19" spans="1:53" ht="9" customHeight="1" thickBot="1" x14ac:dyDescent="0.3"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61"/>
      <c r="AA19" s="67"/>
      <c r="AB19" s="67"/>
      <c r="AC19" s="70"/>
      <c r="AD19" s="67"/>
      <c r="AE19" s="67"/>
      <c r="AF19" s="67"/>
      <c r="AG19" s="67"/>
      <c r="AH19" s="75"/>
      <c r="AI19" s="68"/>
      <c r="AJ19" s="67"/>
      <c r="AK19" s="67"/>
      <c r="AL19" s="67"/>
    </row>
    <row r="20" spans="1:53" ht="6.6" customHeight="1" x14ac:dyDescent="0.25">
      <c r="AA20" s="67"/>
      <c r="AB20" s="67"/>
      <c r="AC20" s="70"/>
      <c r="AD20" s="67"/>
      <c r="AE20" s="67"/>
      <c r="AF20" s="67"/>
      <c r="AG20" s="67"/>
      <c r="AH20" s="75"/>
      <c r="AI20" s="68"/>
      <c r="AJ20" s="67"/>
      <c r="AK20" s="67"/>
      <c r="AL20" s="67"/>
    </row>
    <row r="21" spans="1:53" s="38" customFormat="1" ht="21.75" hidden="1" customHeight="1" x14ac:dyDescent="0.25">
      <c r="A21" s="68"/>
      <c r="B21" s="221" t="s">
        <v>27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3"/>
      <c r="AA21" s="68"/>
      <c r="AB21" s="68"/>
      <c r="AC21" s="68"/>
      <c r="AD21" s="68"/>
      <c r="AE21" s="68"/>
      <c r="AF21" s="68"/>
      <c r="AG21" s="68"/>
      <c r="AH21" s="75"/>
      <c r="AI21" s="68"/>
      <c r="AJ21" s="68"/>
      <c r="AK21" s="68"/>
      <c r="AL21" s="68"/>
      <c r="AY21" s="41"/>
      <c r="AZ21" s="41"/>
      <c r="BA21" s="41"/>
    </row>
    <row r="22" spans="1:53" ht="9" hidden="1" customHeight="1" x14ac:dyDescent="0.25">
      <c r="B22" s="45"/>
      <c r="C22" s="44"/>
      <c r="D22" s="44"/>
      <c r="E22" s="44"/>
      <c r="F22" s="60"/>
      <c r="G22" s="60"/>
      <c r="H22" s="60"/>
      <c r="I22" s="60"/>
      <c r="J22" s="60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6"/>
      <c r="AA22" s="67"/>
      <c r="AB22" s="67"/>
      <c r="AC22" s="70"/>
      <c r="AD22" s="71"/>
      <c r="AE22" s="71"/>
      <c r="AF22" s="71"/>
      <c r="AG22" s="67"/>
      <c r="AH22" s="75"/>
      <c r="AI22" s="68"/>
      <c r="AJ22" s="67"/>
      <c r="AK22" s="67"/>
      <c r="AL22" s="67"/>
    </row>
    <row r="23" spans="1:53" ht="25.5" hidden="1" customHeight="1" x14ac:dyDescent="0.25">
      <c r="B23" s="45"/>
      <c r="C23" s="245" t="s">
        <v>58</v>
      </c>
      <c r="D23" s="245"/>
      <c r="E23" s="44"/>
      <c r="F23" s="246" t="s">
        <v>44</v>
      </c>
      <c r="G23" s="246"/>
      <c r="H23" s="62"/>
      <c r="I23" s="62" t="s">
        <v>2</v>
      </c>
      <c r="J23" s="62"/>
      <c r="K23" s="247" t="s">
        <v>47</v>
      </c>
      <c r="L23" s="247"/>
      <c r="M23" s="247"/>
      <c r="N23" s="44"/>
      <c r="O23" s="247" t="s">
        <v>45</v>
      </c>
      <c r="P23" s="247"/>
      <c r="Q23" s="44"/>
      <c r="R23" s="247" t="s">
        <v>46</v>
      </c>
      <c r="S23" s="247"/>
      <c r="T23" s="44"/>
      <c r="U23" s="44" t="s">
        <v>53</v>
      </c>
      <c r="V23" s="44"/>
      <c r="W23" s="44"/>
      <c r="X23" s="44"/>
      <c r="Y23" s="44"/>
      <c r="Z23" s="46"/>
      <c r="AA23" s="67"/>
      <c r="AB23" s="67"/>
      <c r="AC23" s="70"/>
      <c r="AD23" s="71"/>
      <c r="AE23" s="71"/>
      <c r="AF23" s="71"/>
      <c r="AG23" s="67"/>
      <c r="AH23" s="75"/>
      <c r="AI23" s="68"/>
      <c r="AJ23" s="67"/>
      <c r="AK23" s="67"/>
      <c r="AL23" s="67"/>
    </row>
    <row r="24" spans="1:53" ht="25.5" hidden="1" customHeight="1" x14ac:dyDescent="0.25">
      <c r="B24" s="45"/>
      <c r="C24" s="248" t="s">
        <v>11</v>
      </c>
      <c r="D24" s="249"/>
      <c r="E24" s="44"/>
      <c r="F24" s="250" t="s">
        <v>9</v>
      </c>
      <c r="G24" s="251"/>
      <c r="H24" s="60"/>
      <c r="I24" s="42">
        <v>0</v>
      </c>
      <c r="J24" s="60" t="s">
        <v>5</v>
      </c>
      <c r="K24" s="252">
        <v>40544</v>
      </c>
      <c r="L24" s="253"/>
      <c r="M24" s="254"/>
      <c r="N24" s="44"/>
      <c r="O24" s="255">
        <v>0</v>
      </c>
      <c r="P24" s="256"/>
      <c r="Q24" s="44"/>
      <c r="R24" s="255">
        <v>0</v>
      </c>
      <c r="S24" s="256"/>
      <c r="T24" s="44"/>
      <c r="U24" s="239">
        <f>IF(F24="Interest Only",(O24*IR_Stress!$E$4/12)+R24,IF(F24="Capital Repayment",R24*(1+VLOOKUP('Lookup Commercial Term'!$V$3,'Lookup Commercial Term'!$B$23:$G$63,'Lookup Commercial Term'!$P$12,FALSE)),0))</f>
        <v>0</v>
      </c>
      <c r="V24" s="240"/>
      <c r="W24" s="44"/>
      <c r="X24" s="44"/>
      <c r="Y24" s="44"/>
      <c r="Z24" s="46"/>
      <c r="AA24" s="67"/>
      <c r="AB24" s="67"/>
      <c r="AC24" s="70"/>
      <c r="AD24" s="71"/>
      <c r="AE24" s="71"/>
      <c r="AF24" s="71"/>
      <c r="AG24" s="67"/>
      <c r="AH24" s="75"/>
      <c r="AI24" s="68"/>
      <c r="AJ24" s="67"/>
      <c r="AK24" s="67"/>
      <c r="AL24" s="67"/>
    </row>
    <row r="25" spans="1:53" ht="9" hidden="1" customHeight="1" x14ac:dyDescent="0.25">
      <c r="B25" s="45"/>
      <c r="C25" s="44"/>
      <c r="D25" s="44"/>
      <c r="E25" s="44"/>
      <c r="F25" s="60"/>
      <c r="G25" s="60"/>
      <c r="H25" s="60"/>
      <c r="I25" s="60"/>
      <c r="J25" s="60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6"/>
      <c r="AA25" s="67"/>
      <c r="AB25" s="67"/>
      <c r="AC25" s="70"/>
      <c r="AD25" s="71"/>
      <c r="AE25" s="71"/>
      <c r="AF25" s="71"/>
      <c r="AG25" s="67"/>
      <c r="AH25" s="75"/>
      <c r="AI25" s="68"/>
      <c r="AJ25" s="67"/>
      <c r="AK25" s="67"/>
      <c r="AL25" s="67"/>
    </row>
    <row r="26" spans="1:53" ht="9" hidden="1" customHeight="1" thickBot="1" x14ac:dyDescent="0.3">
      <c r="B26" s="55"/>
      <c r="C26" s="56"/>
      <c r="D26" s="56"/>
      <c r="E26" s="56"/>
      <c r="F26" s="63"/>
      <c r="G26" s="63"/>
      <c r="H26" s="63"/>
      <c r="I26" s="63"/>
      <c r="J26" s="63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61"/>
      <c r="AA26" s="67"/>
      <c r="AB26" s="67"/>
      <c r="AC26" s="73"/>
      <c r="AD26" s="74"/>
      <c r="AE26" s="74"/>
      <c r="AF26" s="67"/>
      <c r="AG26" s="67"/>
      <c r="AH26" s="75"/>
      <c r="AI26" s="68"/>
      <c r="AJ26" s="67"/>
      <c r="AK26" s="67"/>
      <c r="AL26" s="67"/>
    </row>
    <row r="27" spans="1:53" ht="3" customHeight="1" thickBot="1" x14ac:dyDescent="0.3">
      <c r="AA27" s="67"/>
      <c r="AB27" s="67"/>
      <c r="AC27" s="73"/>
      <c r="AD27" s="74"/>
      <c r="AE27" s="74"/>
      <c r="AF27" s="67"/>
      <c r="AG27" s="67"/>
      <c r="AH27" s="75"/>
      <c r="AI27" s="68"/>
      <c r="AJ27" s="67"/>
      <c r="AK27" s="67"/>
      <c r="AL27" s="67"/>
    </row>
    <row r="28" spans="1:53" s="38" customFormat="1" ht="21.75" customHeight="1" x14ac:dyDescent="0.25">
      <c r="A28" s="68"/>
      <c r="B28" s="221" t="s">
        <v>20</v>
      </c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3"/>
      <c r="AA28" s="68"/>
      <c r="AB28" s="68"/>
      <c r="AC28" s="68"/>
      <c r="AD28" s="86"/>
      <c r="AE28" s="94"/>
      <c r="AF28" s="95"/>
      <c r="AG28" s="68"/>
      <c r="AH28" s="75"/>
      <c r="AI28" s="68"/>
      <c r="AJ28" s="68"/>
      <c r="AK28" s="68"/>
      <c r="AL28" s="68"/>
      <c r="AY28" s="41"/>
      <c r="AZ28" s="41"/>
      <c r="BA28" s="41"/>
    </row>
    <row r="29" spans="1:53" ht="9" customHeight="1" x14ac:dyDescent="0.25">
      <c r="B29" s="45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6"/>
      <c r="AA29" s="67"/>
      <c r="AB29" s="67"/>
      <c r="AC29" s="73"/>
      <c r="AD29" s="74"/>
      <c r="AE29" s="74"/>
      <c r="AF29" s="71"/>
      <c r="AG29" s="67"/>
      <c r="AH29" s="75"/>
      <c r="AI29" s="68"/>
      <c r="AJ29" s="67"/>
      <c r="AK29" s="67"/>
      <c r="AL29" s="67"/>
    </row>
    <row r="30" spans="1:53" s="38" customFormat="1" ht="24.75" customHeight="1" x14ac:dyDescent="0.25">
      <c r="A30" s="68"/>
      <c r="B30" s="78"/>
      <c r="C30" s="47" t="s">
        <v>17</v>
      </c>
      <c r="D30" s="52"/>
      <c r="E30" s="49"/>
      <c r="F30" s="49"/>
      <c r="G30" s="49"/>
      <c r="H30" s="50" t="s">
        <v>0</v>
      </c>
      <c r="I30" s="233">
        <v>8000</v>
      </c>
      <c r="J30" s="234"/>
      <c r="K30" s="234"/>
      <c r="L30" s="234"/>
      <c r="M30" s="235"/>
      <c r="N30" s="49"/>
      <c r="O30" s="248" t="s">
        <v>19</v>
      </c>
      <c r="P30" s="257"/>
      <c r="Q30" s="249"/>
      <c r="R30" s="49"/>
      <c r="S30" s="49"/>
      <c r="T30" s="49"/>
      <c r="U30" s="49"/>
      <c r="V30" s="49"/>
      <c r="W30" s="49"/>
      <c r="X30" s="49"/>
      <c r="Y30" s="49"/>
      <c r="Z30" s="79"/>
      <c r="AA30" s="68"/>
      <c r="AB30" s="68"/>
      <c r="AC30" s="96"/>
      <c r="AD30" s="86"/>
      <c r="AE30" s="68"/>
      <c r="AF30" s="72"/>
      <c r="AG30" s="68"/>
      <c r="AH30" s="75"/>
      <c r="AI30" s="68"/>
      <c r="AJ30" s="68"/>
      <c r="AK30" s="68"/>
      <c r="AL30" s="68"/>
      <c r="AY30" s="41"/>
      <c r="AZ30" s="41"/>
      <c r="BA30" s="41"/>
    </row>
    <row r="31" spans="1:53" ht="9" customHeight="1" thickBot="1" x14ac:dyDescent="0.3">
      <c r="B31" s="55"/>
      <c r="C31" s="80"/>
      <c r="D31" s="80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61"/>
      <c r="AA31" s="67"/>
      <c r="AB31" s="67"/>
      <c r="AC31" s="73"/>
      <c r="AD31" s="86"/>
      <c r="AE31" s="74"/>
      <c r="AF31" s="67"/>
      <c r="AG31" s="67"/>
      <c r="AH31" s="67"/>
      <c r="AI31" s="67"/>
      <c r="AJ31" s="67"/>
      <c r="AK31" s="67"/>
      <c r="AL31" s="67"/>
    </row>
    <row r="32" spans="1:53" ht="10.5" customHeight="1" thickBot="1" x14ac:dyDescent="0.3"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73"/>
      <c r="AD32" s="86"/>
      <c r="AE32" s="74"/>
      <c r="AF32" s="67"/>
      <c r="AG32" s="67"/>
      <c r="AH32" s="67"/>
      <c r="AI32" s="67"/>
      <c r="AJ32" s="67"/>
      <c r="AK32" s="67"/>
      <c r="AL32" s="67"/>
    </row>
    <row r="33" spans="1:53" s="38" customFormat="1" ht="21.75" customHeight="1" x14ac:dyDescent="0.25">
      <c r="A33" s="68"/>
      <c r="B33" s="258" t="s">
        <v>22</v>
      </c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60"/>
      <c r="AA33" s="68"/>
      <c r="AB33" s="68"/>
      <c r="AC33" s="69"/>
      <c r="AD33" s="86"/>
      <c r="AE33" s="95"/>
      <c r="AF33" s="95"/>
      <c r="AG33" s="68"/>
      <c r="AH33" s="68"/>
      <c r="AI33" s="68"/>
      <c r="AJ33" s="68"/>
      <c r="AK33" s="68"/>
      <c r="AL33" s="68"/>
      <c r="AY33" s="41"/>
      <c r="AZ33" s="41"/>
      <c r="BA33" s="41"/>
    </row>
    <row r="34" spans="1:53" ht="9" customHeight="1" thickBot="1" x14ac:dyDescent="0.3">
      <c r="B34" s="45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6"/>
      <c r="AA34" s="67"/>
      <c r="AB34" s="67"/>
      <c r="AC34" s="70"/>
      <c r="AD34" s="86"/>
      <c r="AE34" s="95"/>
      <c r="AF34" s="95"/>
      <c r="AG34" s="68"/>
      <c r="AH34" s="68"/>
      <c r="AI34" s="68"/>
      <c r="AJ34" s="68"/>
      <c r="AK34" s="68"/>
      <c r="AL34" s="68"/>
      <c r="AM34" s="38"/>
      <c r="AN34" s="38"/>
      <c r="AO34" s="38"/>
      <c r="AP34" s="38"/>
      <c r="AQ34" s="38"/>
    </row>
    <row r="35" spans="1:53" s="38" customFormat="1" ht="24.75" customHeight="1" thickBot="1" x14ac:dyDescent="0.3">
      <c r="A35" s="68"/>
      <c r="B35" s="78"/>
      <c r="C35" s="47"/>
      <c r="D35" s="52"/>
      <c r="E35" s="81"/>
      <c r="F35" s="82"/>
      <c r="G35" s="83"/>
      <c r="H35" s="85" t="s">
        <v>59</v>
      </c>
      <c r="I35" s="49"/>
      <c r="J35" s="49" t="s">
        <v>21</v>
      </c>
      <c r="K35" s="99">
        <f>'Lookup Commercial Term'!D9/'Lookup Commercial Term'!D10</f>
        <v>2.3230488113852115</v>
      </c>
      <c r="L35" s="84"/>
      <c r="M35" s="261" t="str">
        <f>IF(K35=0,"",IF($K$35&gt;='Lookup Commercial Term'!$B$18,'Lookup Commercial Term'!$C$13,'Lookup Commercial Term'!$C$14))</f>
        <v>ACCEPT</v>
      </c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79"/>
      <c r="AA35" s="68"/>
      <c r="AB35" s="68"/>
      <c r="AC35" s="69"/>
      <c r="AD35" s="86"/>
      <c r="AE35" s="95"/>
      <c r="AF35" s="95"/>
      <c r="AG35" s="68"/>
      <c r="AH35" s="68"/>
      <c r="AI35" s="68"/>
      <c r="AJ35" s="68"/>
      <c r="AK35" s="68"/>
      <c r="AL35" s="68"/>
      <c r="AY35" s="41"/>
      <c r="AZ35" s="41"/>
      <c r="BA35" s="41"/>
    </row>
    <row r="36" spans="1:53" s="38" customFormat="1" ht="24.75" customHeight="1" x14ac:dyDescent="0.25">
      <c r="A36" s="68"/>
      <c r="B36" s="78"/>
      <c r="C36" s="47" t="str">
        <f>IF(SUM(G33:Y33)=0,"","Threshold")</f>
        <v/>
      </c>
      <c r="D36" s="52"/>
      <c r="E36" s="52"/>
      <c r="F36" s="52"/>
      <c r="G36" s="49"/>
      <c r="H36" s="52"/>
      <c r="I36" s="81"/>
      <c r="J36" s="49"/>
      <c r="K36" s="47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79"/>
      <c r="AA36" s="68"/>
      <c r="AB36" s="68"/>
      <c r="AC36" s="69"/>
      <c r="AD36" s="86"/>
      <c r="AE36" s="72"/>
      <c r="AF36" s="72"/>
      <c r="AG36" s="68"/>
      <c r="AH36" s="68"/>
      <c r="AI36" s="68"/>
      <c r="AJ36" s="68"/>
      <c r="AK36" s="68"/>
      <c r="AL36" s="68"/>
      <c r="AY36" s="41"/>
      <c r="AZ36" s="41"/>
      <c r="BA36" s="41"/>
    </row>
    <row r="37" spans="1:53" ht="9" customHeight="1" x14ac:dyDescent="0.25">
      <c r="B37" s="45"/>
      <c r="C37" s="48"/>
      <c r="D37" s="48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6"/>
      <c r="AA37" s="67"/>
      <c r="AB37" s="67"/>
      <c r="AC37" s="70"/>
      <c r="AD37" s="86"/>
      <c r="AE37" s="67"/>
      <c r="AF37" s="67"/>
      <c r="AG37" s="67"/>
      <c r="AH37" s="67"/>
      <c r="AI37" s="67"/>
      <c r="AJ37" s="67"/>
      <c r="AK37" s="67"/>
      <c r="AL37" s="67"/>
    </row>
    <row r="38" spans="1:53" x14ac:dyDescent="0.25">
      <c r="B38" s="45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6"/>
      <c r="AA38" s="67"/>
      <c r="AB38" s="67"/>
      <c r="AC38" s="70"/>
      <c r="AD38" s="67"/>
      <c r="AE38" s="67"/>
      <c r="AF38" s="67"/>
      <c r="AG38" s="67"/>
      <c r="AH38" s="67"/>
      <c r="AI38" s="67"/>
      <c r="AJ38" s="67"/>
      <c r="AK38" s="67"/>
      <c r="AL38" s="67"/>
    </row>
    <row r="39" spans="1:53" x14ac:dyDescent="0.25">
      <c r="B39" s="4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 t="s">
        <v>26</v>
      </c>
      <c r="Q39" s="44"/>
      <c r="R39" s="44"/>
      <c r="S39" s="44"/>
      <c r="T39" s="44"/>
      <c r="U39" s="44"/>
      <c r="V39" s="44"/>
      <c r="W39" s="44"/>
      <c r="X39" s="44"/>
      <c r="Y39" s="44"/>
      <c r="Z39" s="46"/>
      <c r="AA39" s="67"/>
      <c r="AB39" s="67"/>
      <c r="AC39" s="70"/>
      <c r="AD39" s="67"/>
      <c r="AE39" s="67"/>
      <c r="AF39" s="67"/>
      <c r="AG39" s="67"/>
      <c r="AH39" s="67"/>
      <c r="AI39" s="67"/>
      <c r="AJ39" s="67"/>
      <c r="AK39" s="67"/>
      <c r="AL39" s="67"/>
    </row>
    <row r="40" spans="1:53" x14ac:dyDescent="0.25"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6"/>
      <c r="AA40" s="67"/>
      <c r="AB40" s="67"/>
      <c r="AC40" s="70"/>
      <c r="AD40" s="67"/>
      <c r="AE40" s="67"/>
      <c r="AF40" s="67"/>
      <c r="AG40" s="67"/>
      <c r="AH40" s="67"/>
      <c r="AI40" s="67"/>
      <c r="AJ40" s="67"/>
      <c r="AK40" s="67"/>
      <c r="AL40" s="67"/>
    </row>
    <row r="41" spans="1:5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6"/>
      <c r="AA41" s="67"/>
      <c r="AB41" s="67"/>
      <c r="AC41" s="70"/>
      <c r="AD41" s="67"/>
      <c r="AE41" s="67"/>
      <c r="AF41" s="67"/>
      <c r="AG41" s="67"/>
      <c r="AH41" s="67"/>
      <c r="AI41" s="67"/>
      <c r="AJ41" s="67"/>
      <c r="AK41" s="67"/>
      <c r="AL41" s="67"/>
    </row>
    <row r="42" spans="1:53" ht="15.75" thickBot="1" x14ac:dyDescent="0.3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61"/>
      <c r="AA42" s="67"/>
      <c r="AB42" s="67"/>
      <c r="AC42" s="70"/>
      <c r="AD42" s="67"/>
      <c r="AE42" s="67"/>
      <c r="AF42" s="67"/>
      <c r="AG42" s="67"/>
      <c r="AH42" s="67"/>
      <c r="AI42" s="67"/>
      <c r="AJ42" s="67"/>
      <c r="AK42" s="67"/>
      <c r="AL42" s="67"/>
    </row>
    <row r="43" spans="1:53" x14ac:dyDescent="0.2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70"/>
      <c r="AD43" s="67"/>
      <c r="AE43" s="67"/>
      <c r="AF43" s="67"/>
      <c r="AG43" s="67"/>
      <c r="AH43" s="67"/>
      <c r="AI43" s="67"/>
      <c r="AJ43" s="67"/>
      <c r="AK43" s="67"/>
      <c r="AL43" s="67"/>
    </row>
    <row r="44" spans="1:53" x14ac:dyDescent="0.2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70"/>
      <c r="AD44" s="67"/>
      <c r="AE44" s="67"/>
      <c r="AF44" s="67"/>
      <c r="AG44" s="67"/>
      <c r="AH44" s="67"/>
      <c r="AI44" s="67"/>
      <c r="AJ44" s="67"/>
      <c r="AK44" s="67"/>
      <c r="AL44" s="67"/>
    </row>
    <row r="45" spans="1:53" x14ac:dyDescent="0.2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70"/>
      <c r="AD45" s="67"/>
      <c r="AE45" s="67"/>
      <c r="AF45" s="67"/>
      <c r="AG45" s="67"/>
      <c r="AH45" s="67"/>
      <c r="AI45" s="67"/>
      <c r="AJ45" s="67"/>
      <c r="AK45" s="67"/>
      <c r="AL45" s="67"/>
    </row>
    <row r="46" spans="1:53" x14ac:dyDescent="0.2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70"/>
      <c r="AD46" s="67"/>
      <c r="AE46" s="67"/>
      <c r="AF46" s="67"/>
      <c r="AG46" s="67"/>
      <c r="AH46" s="67"/>
      <c r="AI46" s="67"/>
      <c r="AJ46" s="67"/>
      <c r="AK46" s="67"/>
      <c r="AL46" s="67"/>
    </row>
    <row r="47" spans="1:53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70"/>
      <c r="AD47" s="67"/>
      <c r="AE47" s="67"/>
      <c r="AF47" s="67"/>
      <c r="AG47" s="67"/>
      <c r="AH47" s="67"/>
      <c r="AI47" s="67"/>
      <c r="AJ47" s="67"/>
      <c r="AK47" s="67"/>
      <c r="AL47" s="67"/>
    </row>
    <row r="48" spans="1:53" x14ac:dyDescent="0.2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70"/>
      <c r="AD48" s="67"/>
      <c r="AE48" s="67"/>
      <c r="AF48" s="67"/>
      <c r="AG48" s="67"/>
      <c r="AH48" s="67"/>
      <c r="AI48" s="67"/>
      <c r="AJ48" s="67"/>
      <c r="AK48" s="67"/>
      <c r="AL48" s="67"/>
    </row>
    <row r="49" spans="2:38" x14ac:dyDescent="0.2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70"/>
      <c r="AD49" s="67"/>
      <c r="AE49" s="67"/>
      <c r="AF49" s="67"/>
      <c r="AG49" s="67"/>
      <c r="AH49" s="67"/>
      <c r="AI49" s="67"/>
      <c r="AJ49" s="67"/>
      <c r="AK49" s="67"/>
      <c r="AL49" s="67"/>
    </row>
    <row r="50" spans="2:38" x14ac:dyDescent="0.2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70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2:38" x14ac:dyDescent="0.2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70"/>
      <c r="AD51" s="67"/>
      <c r="AE51" s="67"/>
      <c r="AF51" s="67"/>
      <c r="AG51" s="67"/>
      <c r="AH51" s="67"/>
      <c r="AI51" s="67"/>
      <c r="AJ51" s="67"/>
      <c r="AK51" s="67"/>
      <c r="AL51" s="67"/>
    </row>
    <row r="52" spans="2:38" x14ac:dyDescent="0.2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70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2:38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70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2:38" x14ac:dyDescent="0.2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70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2:38" x14ac:dyDescent="0.25">
      <c r="B55" s="67"/>
      <c r="C55" s="9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70"/>
      <c r="AD55" s="67"/>
      <c r="AE55" s="67"/>
      <c r="AF55" s="67"/>
      <c r="AG55" s="67"/>
      <c r="AH55" s="67"/>
      <c r="AI55" s="67"/>
      <c r="AJ55" s="67"/>
      <c r="AK55" s="67"/>
      <c r="AL55" s="67"/>
    </row>
    <row r="56" spans="2:38" x14ac:dyDescent="0.25">
      <c r="AA56" s="67"/>
      <c r="AB56" s="67"/>
      <c r="AC56" s="70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2:38" x14ac:dyDescent="0.25">
      <c r="C57" s="76"/>
      <c r="AA57" s="67"/>
      <c r="AB57" s="67"/>
      <c r="AC57" s="70"/>
      <c r="AD57" s="67"/>
      <c r="AE57" s="67"/>
      <c r="AF57" s="67"/>
      <c r="AG57" s="67"/>
      <c r="AH57" s="67"/>
      <c r="AI57" s="67"/>
      <c r="AJ57" s="67"/>
      <c r="AK57" s="67"/>
      <c r="AL57" s="67"/>
    </row>
    <row r="58" spans="2:38" x14ac:dyDescent="0.25">
      <c r="D58" s="77"/>
      <c r="AA58" s="67"/>
      <c r="AB58" s="67"/>
      <c r="AC58" s="70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2:38" x14ac:dyDescent="0.25">
      <c r="D59" s="77"/>
      <c r="AA59" s="67"/>
      <c r="AB59" s="67"/>
      <c r="AC59" s="70"/>
      <c r="AD59" s="67"/>
      <c r="AE59" s="67"/>
      <c r="AF59" s="67"/>
      <c r="AG59" s="67"/>
      <c r="AH59" s="67"/>
      <c r="AI59" s="67"/>
      <c r="AJ59" s="67"/>
      <c r="AK59" s="67"/>
      <c r="AL59" s="67"/>
    </row>
    <row r="60" spans="2:38" x14ac:dyDescent="0.25">
      <c r="D60" s="43"/>
      <c r="AA60" s="67"/>
      <c r="AB60" s="67"/>
      <c r="AC60" s="70"/>
      <c r="AD60" s="67"/>
      <c r="AE60" s="67"/>
      <c r="AF60" s="67"/>
      <c r="AG60" s="67"/>
      <c r="AH60" s="67"/>
      <c r="AI60" s="67"/>
      <c r="AJ60" s="67"/>
      <c r="AK60" s="67"/>
      <c r="AL60" s="67"/>
    </row>
    <row r="61" spans="2:38" x14ac:dyDescent="0.25">
      <c r="AA61" s="67"/>
      <c r="AB61" s="67"/>
      <c r="AC61" s="70"/>
      <c r="AD61" s="67"/>
      <c r="AE61" s="67"/>
      <c r="AF61" s="67"/>
      <c r="AG61" s="67"/>
      <c r="AH61" s="67"/>
      <c r="AI61" s="67"/>
      <c r="AJ61" s="67"/>
      <c r="AK61" s="67"/>
      <c r="AL61" s="67"/>
    </row>
    <row r="62" spans="2:38" x14ac:dyDescent="0.25">
      <c r="AA62" s="67"/>
      <c r="AB62" s="67"/>
      <c r="AC62" s="70"/>
      <c r="AD62" s="67"/>
      <c r="AE62" s="67"/>
      <c r="AF62" s="67"/>
      <c r="AG62" s="67"/>
      <c r="AH62" s="67"/>
      <c r="AI62" s="67"/>
      <c r="AJ62" s="67"/>
      <c r="AK62" s="67"/>
      <c r="AL62" s="67"/>
    </row>
  </sheetData>
  <sheetProtection algorithmName="SHA-512" hashValue="sUq+P73DYrqgH24LA3R3iK+nBN6g++r1DyK4yxEnOai7EZHjHPL/xbL91APxRD//JLcTtbub2pB+d7uT+dHacA==" saltValue="b/SJpK1/4ygyHdq16EvW/g==" spinCount="100000" sheet="1" selectLockedCells="1"/>
  <mergeCells count="25">
    <mergeCell ref="O23:P23"/>
    <mergeCell ref="R23:S23"/>
    <mergeCell ref="K23:M23"/>
    <mergeCell ref="B10:Z10"/>
    <mergeCell ref="I12:M12"/>
    <mergeCell ref="I14:M14"/>
    <mergeCell ref="E16:G16"/>
    <mergeCell ref="I16:M16"/>
    <mergeCell ref="T16:W16"/>
    <mergeCell ref="M35:Y35"/>
    <mergeCell ref="I30:M30"/>
    <mergeCell ref="B28:Z28"/>
    <mergeCell ref="O30:Q30"/>
    <mergeCell ref="I18:M18"/>
    <mergeCell ref="T18:W18"/>
    <mergeCell ref="B21:Z21"/>
    <mergeCell ref="B33:Z33"/>
    <mergeCell ref="F24:G24"/>
    <mergeCell ref="O24:P24"/>
    <mergeCell ref="R24:S24"/>
    <mergeCell ref="C23:D23"/>
    <mergeCell ref="C24:D24"/>
    <mergeCell ref="K24:M24"/>
    <mergeCell ref="U24:V24"/>
    <mergeCell ref="F23:G23"/>
  </mergeCells>
  <pageMargins left="0.7" right="0.7" top="0.75" bottom="0.75" header="0.3" footer="0.3"/>
  <pageSetup paperSize="9" scale="3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'Lookup Commercial Term'!$H$3:$H$5</xm:f>
          </x14:formula1>
          <xm:sqref>I18:M18 F24:G24</xm:sqref>
        </x14:dataValidation>
        <x14:dataValidation type="list" allowBlank="1" showInputMessage="1" showErrorMessage="1">
          <x14:formula1>
            <xm:f>'Lookup Commercial Term'!$E$3:$E$4</xm:f>
          </x14:formula1>
          <xm:sqref>E16:G16</xm:sqref>
        </x14:dataValidation>
        <x14:dataValidation type="list" allowBlank="1" showInputMessage="1" showErrorMessage="1">
          <x14:formula1>
            <xm:f>'Lookup Commercial Term'!$B$3:$B$5</xm:f>
          </x14:formula1>
          <xm:sqref>O30:Q30</xm:sqref>
        </x14:dataValidation>
        <x14:dataValidation type="list" allowBlank="1" showInputMessage="1" showErrorMessage="1">
          <x14:formula1>
            <xm:f>'Lookup Commercial Term'!$K$4:$K$5</xm:f>
          </x14:formula1>
          <xm:sqref>C24:D24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3F2C59"/>
  </sheetPr>
  <dimension ref="A1:BA64"/>
  <sheetViews>
    <sheetView showGridLines="0" topLeftCell="H1" zoomScale="80" zoomScaleNormal="80" workbookViewId="0">
      <selection activeCell="AO30" sqref="AO30"/>
    </sheetView>
  </sheetViews>
  <sheetFormatPr defaultColWidth="9.140625" defaultRowHeight="15" x14ac:dyDescent="0.25"/>
  <cols>
    <col min="1" max="1" width="13.5703125" style="103" customWidth="1"/>
    <col min="2" max="5" width="9.140625" style="105"/>
    <col min="6" max="6" width="19.28515625" style="105" customWidth="1"/>
    <col min="7" max="7" width="10.5703125" style="105" customWidth="1"/>
    <col min="8" max="8" width="13.5703125" style="105" customWidth="1"/>
    <col min="9" max="12" width="9.140625" style="105"/>
    <col min="13" max="13" width="19.42578125" style="105" customWidth="1"/>
    <col min="14" max="17" width="9.140625" style="105"/>
    <col min="18" max="18" width="6.28515625" style="105" customWidth="1"/>
    <col min="19" max="20" width="9.140625" style="105"/>
    <col min="21" max="22" width="11.42578125" style="105" customWidth="1"/>
    <col min="23" max="25" width="9.140625" style="105"/>
    <col min="26" max="40" width="9.140625" style="103"/>
    <col min="41" max="16384" width="9.140625" style="105"/>
  </cols>
  <sheetData>
    <row r="1" spans="2:32" ht="18" customHeight="1" x14ac:dyDescent="0.25"/>
    <row r="3" spans="2:32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2:32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2:32" ht="18" customHeight="1" x14ac:dyDescent="0.25"/>
    <row r="6" spans="2:32" ht="5.25" customHeight="1" thickBot="1" x14ac:dyDescent="0.3">
      <c r="AC6" s="104"/>
      <c r="AD6" s="106"/>
      <c r="AE6" s="106"/>
    </row>
    <row r="7" spans="2:32" x14ac:dyDescent="0.25">
      <c r="B7" s="221" t="s">
        <v>12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3"/>
      <c r="AC7" s="115"/>
    </row>
    <row r="8" spans="2:32" x14ac:dyDescent="0.25">
      <c r="B8" s="45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6"/>
      <c r="AC8" s="116"/>
      <c r="AD8" s="117"/>
      <c r="AE8" s="117"/>
      <c r="AF8" s="117"/>
    </row>
    <row r="9" spans="2:32" x14ac:dyDescent="0.25">
      <c r="B9" s="45"/>
      <c r="C9" s="47" t="s">
        <v>15</v>
      </c>
      <c r="D9" s="48"/>
      <c r="E9" s="49"/>
      <c r="F9" s="49"/>
      <c r="G9" s="44"/>
      <c r="H9" s="50" t="s">
        <v>0</v>
      </c>
      <c r="I9" s="233">
        <v>250000</v>
      </c>
      <c r="J9" s="234"/>
      <c r="K9" s="234"/>
      <c r="L9" s="234"/>
      <c r="M9" s="235"/>
      <c r="N9" s="44"/>
      <c r="O9" s="44"/>
      <c r="P9" s="49"/>
      <c r="Q9" s="49"/>
      <c r="R9" s="49"/>
      <c r="S9" s="49"/>
      <c r="T9" s="49"/>
      <c r="U9" s="49"/>
      <c r="V9" s="49"/>
      <c r="W9" s="49"/>
      <c r="X9" s="44"/>
      <c r="Y9" s="46"/>
      <c r="AF9" s="118"/>
    </row>
    <row r="10" spans="2:32" x14ac:dyDescent="0.25">
      <c r="B10" s="45"/>
      <c r="C10" s="48"/>
      <c r="D10" s="48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6"/>
    </row>
    <row r="11" spans="2:32" x14ac:dyDescent="0.25">
      <c r="B11" s="45"/>
      <c r="C11" s="51" t="s">
        <v>2</v>
      </c>
      <c r="D11" s="48"/>
      <c r="E11" s="49"/>
      <c r="F11" s="49"/>
      <c r="G11" s="49"/>
      <c r="H11" s="44"/>
      <c r="I11" s="262">
        <v>120</v>
      </c>
      <c r="J11" s="262"/>
      <c r="K11" s="262"/>
      <c r="L11" s="262"/>
      <c r="M11" s="262"/>
      <c r="N11" s="49" t="s">
        <v>5</v>
      </c>
      <c r="O11" s="44"/>
      <c r="P11" s="49"/>
      <c r="Q11" s="49"/>
      <c r="R11" s="49"/>
      <c r="S11" s="49"/>
      <c r="T11" s="49"/>
      <c r="U11" s="49"/>
      <c r="V11" s="49"/>
      <c r="W11" s="49"/>
      <c r="X11" s="44"/>
      <c r="Y11" s="46"/>
    </row>
    <row r="12" spans="2:32" x14ac:dyDescent="0.25">
      <c r="B12" s="45"/>
      <c r="C12" s="48"/>
      <c r="D12" s="48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6"/>
    </row>
    <row r="13" spans="2:32" x14ac:dyDescent="0.25">
      <c r="B13" s="45"/>
      <c r="C13" s="47" t="s">
        <v>1</v>
      </c>
      <c r="D13" s="48"/>
      <c r="E13" s="230" t="s">
        <v>61</v>
      </c>
      <c r="F13" s="231"/>
      <c r="G13" s="232"/>
      <c r="H13" s="44"/>
      <c r="I13" s="233">
        <v>10</v>
      </c>
      <c r="J13" s="234"/>
      <c r="K13" s="234"/>
      <c r="L13" s="234"/>
      <c r="M13" s="235"/>
      <c r="N13" s="49" t="s">
        <v>4</v>
      </c>
      <c r="O13" s="49" t="s">
        <v>13</v>
      </c>
      <c r="P13" s="44"/>
      <c r="Q13" s="49"/>
      <c r="R13" s="49"/>
      <c r="S13" s="50" t="s">
        <v>0</v>
      </c>
      <c r="T13" s="236">
        <f>IF(OR(I9="",I11="",I13="",I15=""),0,IF($I$15="Capital Repayment",-PMT(($I$13/100/12),$I$11,$I$9,0),IF($I$15="Interest Only",$I$9*($I$13/100/12),"")))</f>
        <v>3303.7684220440415</v>
      </c>
      <c r="U13" s="237"/>
      <c r="V13" s="238"/>
      <c r="W13" s="59" t="s">
        <v>6</v>
      </c>
      <c r="X13" s="44"/>
      <c r="Y13" s="46"/>
    </row>
    <row r="14" spans="2:32" x14ac:dyDescent="0.25">
      <c r="B14" s="45"/>
      <c r="C14" s="52"/>
      <c r="D14" s="48"/>
      <c r="E14" s="44"/>
      <c r="F14" s="44"/>
      <c r="G14" s="44"/>
      <c r="H14" s="44"/>
      <c r="I14" s="44"/>
      <c r="J14" s="44"/>
      <c r="K14" s="44"/>
      <c r="L14" s="44"/>
      <c r="M14" s="44"/>
      <c r="N14" s="49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/>
    </row>
    <row r="15" spans="2:32" x14ac:dyDescent="0.25">
      <c r="B15" s="45"/>
      <c r="C15" s="53" t="s">
        <v>3</v>
      </c>
      <c r="D15" s="54"/>
      <c r="E15" s="57"/>
      <c r="F15" s="57"/>
      <c r="G15" s="57"/>
      <c r="H15" s="58"/>
      <c r="I15" s="241" t="s">
        <v>8</v>
      </c>
      <c r="J15" s="242"/>
      <c r="K15" s="242"/>
      <c r="L15" s="242"/>
      <c r="M15" s="243"/>
      <c r="N15" s="44"/>
      <c r="O15" s="49" t="s">
        <v>14</v>
      </c>
      <c r="P15" s="60"/>
      <c r="Q15" s="49"/>
      <c r="R15" s="49"/>
      <c r="S15" s="50" t="s">
        <v>0</v>
      </c>
      <c r="T15" s="236">
        <f>IF(OR(I9="",I11="",I13="",I15="",E13="Please select"),0,IF($E$13="Fixed",$T$13,IF($I$15="Capital Repayment",-PMT((($I$13+'Lookup Commercial Term'!$P$4)/100/12),$I$11,$I$9,0),IF($I$15="Interest Only",$I$9*(($I$13+'Lookup Commercial Term'!$P$4)/100/12),""))))</f>
        <v>3303.7684220440415</v>
      </c>
      <c r="U15" s="237"/>
      <c r="V15" s="238"/>
      <c r="W15" s="59" t="s">
        <v>6</v>
      </c>
      <c r="X15" s="44"/>
      <c r="Y15" s="46"/>
    </row>
    <row r="16" spans="2:32" ht="15.75" thickBot="1" x14ac:dyDescent="0.3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61"/>
    </row>
    <row r="17" spans="1:53" hidden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AC17" s="107"/>
      <c r="AD17" s="108"/>
      <c r="AE17" s="108"/>
      <c r="AH17" s="109"/>
      <c r="AI17" s="104"/>
      <c r="AY17" s="110"/>
      <c r="AZ17" s="110"/>
      <c r="BA17" s="110"/>
    </row>
    <row r="18" spans="1:53" ht="15.75" hidden="1" thickBot="1" x14ac:dyDescent="0.3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AC18" s="116"/>
      <c r="AH18" s="109"/>
      <c r="AI18" s="104"/>
      <c r="AY18" s="110"/>
      <c r="AZ18" s="110"/>
      <c r="BA18" s="110"/>
    </row>
    <row r="19" spans="1:53" s="119" customFormat="1" ht="63" hidden="1" customHeight="1" x14ac:dyDescent="0.25">
      <c r="A19" s="104"/>
      <c r="B19" s="221" t="s">
        <v>27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3"/>
      <c r="Z19" s="104"/>
      <c r="AA19" s="104"/>
      <c r="AB19" s="104"/>
      <c r="AC19" s="104"/>
      <c r="AD19" s="104"/>
      <c r="AE19" s="104"/>
      <c r="AF19" s="104"/>
      <c r="AG19" s="109"/>
      <c r="AH19" s="104"/>
      <c r="AI19" s="104"/>
      <c r="AJ19" s="104"/>
      <c r="AK19" s="104"/>
      <c r="AL19" s="104"/>
      <c r="AM19" s="104"/>
      <c r="AN19" s="104"/>
      <c r="AX19" s="113"/>
      <c r="AY19" s="113"/>
      <c r="AZ19" s="113"/>
    </row>
    <row r="20" spans="1:53" ht="23.25" hidden="1" customHeight="1" x14ac:dyDescent="0.25">
      <c r="B20" s="45"/>
      <c r="C20" s="44"/>
      <c r="D20" s="44"/>
      <c r="E20" s="44"/>
      <c r="F20" s="60"/>
      <c r="G20" s="60"/>
      <c r="H20" s="60"/>
      <c r="I20" s="60"/>
      <c r="J20" s="60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6"/>
      <c r="AB20" s="116"/>
      <c r="AC20" s="117"/>
      <c r="AD20" s="117"/>
      <c r="AE20" s="117"/>
      <c r="AG20" s="109"/>
      <c r="AH20" s="104"/>
      <c r="AX20" s="110"/>
      <c r="AY20" s="110"/>
      <c r="AZ20" s="110"/>
    </row>
    <row r="21" spans="1:53" ht="13.5" hidden="1" customHeight="1" x14ac:dyDescent="0.25">
      <c r="B21" s="45"/>
      <c r="C21" s="245" t="s">
        <v>58</v>
      </c>
      <c r="D21" s="245"/>
      <c r="E21" s="44"/>
      <c r="F21" s="246" t="s">
        <v>44</v>
      </c>
      <c r="G21" s="246"/>
      <c r="H21" s="62"/>
      <c r="I21" s="62" t="s">
        <v>2</v>
      </c>
      <c r="J21" s="62"/>
      <c r="K21" s="247" t="s">
        <v>47</v>
      </c>
      <c r="L21" s="247"/>
      <c r="M21" s="247"/>
      <c r="N21" s="44"/>
      <c r="O21" s="247" t="s">
        <v>45</v>
      </c>
      <c r="P21" s="247"/>
      <c r="Q21" s="44"/>
      <c r="R21" s="247" t="s">
        <v>46</v>
      </c>
      <c r="S21" s="247"/>
      <c r="T21" s="44"/>
      <c r="U21" s="44" t="s">
        <v>53</v>
      </c>
      <c r="V21" s="44"/>
      <c r="W21" s="44"/>
      <c r="X21" s="44"/>
      <c r="Y21" s="46"/>
      <c r="AB21" s="116"/>
      <c r="AC21" s="117"/>
      <c r="AD21" s="117"/>
      <c r="AE21" s="117"/>
      <c r="AG21" s="109"/>
      <c r="AH21" s="104"/>
      <c r="AX21" s="110"/>
      <c r="AY21" s="110"/>
      <c r="AZ21" s="110"/>
    </row>
    <row r="22" spans="1:53" ht="49.5" hidden="1" customHeight="1" x14ac:dyDescent="0.25">
      <c r="B22" s="45"/>
      <c r="C22" s="248" t="s">
        <v>11</v>
      </c>
      <c r="D22" s="249"/>
      <c r="E22" s="44"/>
      <c r="F22" s="250" t="s">
        <v>9</v>
      </c>
      <c r="G22" s="251"/>
      <c r="H22" s="60"/>
      <c r="I22" s="42">
        <v>0</v>
      </c>
      <c r="J22" s="60" t="s">
        <v>5</v>
      </c>
      <c r="K22" s="252">
        <v>40544</v>
      </c>
      <c r="L22" s="253"/>
      <c r="M22" s="254"/>
      <c r="N22" s="44"/>
      <c r="O22" s="255">
        <v>0</v>
      </c>
      <c r="P22" s="256"/>
      <c r="Q22" s="44"/>
      <c r="R22" s="255">
        <v>0</v>
      </c>
      <c r="S22" s="256"/>
      <c r="T22" s="44"/>
      <c r="U22" s="239">
        <f>IF(F22="Interest Only",(O22*IR_Stress!$E$4/12)+R22,IF(F22="Capital Repayment",R22*(1+VLOOKUP('Lookup Commercial Term'!$V$3,'Lookup Commercial Term'!$B$23:$G$63,'Lookup Commercial Term'!$P$12,FALSE)),0))</f>
        <v>0</v>
      </c>
      <c r="V22" s="240"/>
      <c r="W22" s="44"/>
      <c r="X22" s="44"/>
      <c r="Y22" s="46"/>
      <c r="AB22" s="116"/>
      <c r="AC22" s="117"/>
      <c r="AD22" s="117"/>
      <c r="AE22" s="117"/>
      <c r="AG22" s="109"/>
      <c r="AH22" s="104"/>
      <c r="AX22" s="110"/>
      <c r="AY22" s="110"/>
      <c r="AZ22" s="110"/>
    </row>
    <row r="23" spans="1:53" ht="29.25" hidden="1" customHeight="1" x14ac:dyDescent="0.25">
      <c r="B23" s="45"/>
      <c r="C23" s="44"/>
      <c r="D23" s="44"/>
      <c r="E23" s="44"/>
      <c r="F23" s="60"/>
      <c r="G23" s="60"/>
      <c r="H23" s="60"/>
      <c r="I23" s="60"/>
      <c r="J23" s="60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6"/>
      <c r="AB23" s="116"/>
      <c r="AC23" s="117"/>
      <c r="AD23" s="117"/>
      <c r="AE23" s="117"/>
      <c r="AG23" s="109"/>
      <c r="AH23" s="104"/>
      <c r="AX23" s="110"/>
      <c r="AY23" s="110"/>
      <c r="AZ23" s="110"/>
    </row>
    <row r="24" spans="1:53" ht="40.5" hidden="1" customHeight="1" thickBot="1" x14ac:dyDescent="0.3">
      <c r="B24" s="55"/>
      <c r="C24" s="56"/>
      <c r="D24" s="56"/>
      <c r="E24" s="56"/>
      <c r="F24" s="63"/>
      <c r="G24" s="63"/>
      <c r="H24" s="63"/>
      <c r="I24" s="63"/>
      <c r="J24" s="63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61"/>
      <c r="AB24" s="107"/>
      <c r="AC24" s="108"/>
      <c r="AD24" s="108"/>
      <c r="AG24" s="109"/>
      <c r="AH24" s="104"/>
      <c r="AX24" s="110"/>
      <c r="AY24" s="110"/>
      <c r="AZ24" s="110"/>
    </row>
    <row r="25" spans="1:53" ht="10.5" customHeight="1" thickBot="1" x14ac:dyDescent="0.3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AC25" s="107"/>
      <c r="AD25" s="108"/>
      <c r="AE25" s="108"/>
      <c r="AH25" s="109"/>
      <c r="AI25" s="104"/>
      <c r="AY25" s="110"/>
      <c r="AZ25" s="110"/>
      <c r="BA25" s="110"/>
    </row>
    <row r="26" spans="1:53" s="119" customFormat="1" ht="21.75" customHeight="1" x14ac:dyDescent="0.25">
      <c r="A26" s="104"/>
      <c r="B26" s="258" t="s">
        <v>75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60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X26" s="113"/>
      <c r="AY26" s="113"/>
      <c r="AZ26" s="113"/>
    </row>
    <row r="27" spans="1:53" ht="9.75" customHeight="1" x14ac:dyDescent="0.25">
      <c r="B27" s="45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6"/>
      <c r="AX27" s="110"/>
      <c r="AY27" s="110"/>
      <c r="AZ27" s="110"/>
    </row>
    <row r="28" spans="1:53" ht="9.75" customHeight="1" x14ac:dyDescent="0.25">
      <c r="B28" s="45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6"/>
      <c r="AX28" s="110"/>
      <c r="AY28" s="110"/>
      <c r="AZ28" s="110"/>
    </row>
    <row r="29" spans="1:53" x14ac:dyDescent="0.25">
      <c r="B29" s="45"/>
      <c r="C29" s="49" t="s">
        <v>100</v>
      </c>
      <c r="D29" s="49"/>
      <c r="E29" s="49"/>
      <c r="F29" s="44"/>
      <c r="G29" s="50" t="s">
        <v>0</v>
      </c>
      <c r="H29" s="265">
        <v>1000</v>
      </c>
      <c r="I29" s="265"/>
      <c r="J29" s="44"/>
      <c r="K29" s="265" t="s">
        <v>19</v>
      </c>
      <c r="L29" s="265"/>
      <c r="M29" s="265"/>
      <c r="N29" s="44"/>
      <c r="O29" s="44"/>
      <c r="P29" s="44"/>
      <c r="Q29" s="44"/>
      <c r="R29" s="44"/>
      <c r="S29" s="64"/>
      <c r="T29" s="64"/>
      <c r="U29" s="64"/>
      <c r="V29" s="49"/>
      <c r="W29" s="49"/>
      <c r="X29" s="49"/>
      <c r="Y29" s="46"/>
      <c r="AA29" s="120"/>
      <c r="AC29" s="144"/>
      <c r="AD29" s="145"/>
      <c r="AF29" s="122"/>
      <c r="AH29" s="122"/>
      <c r="AI29" s="121"/>
      <c r="AJ29" s="122"/>
      <c r="AK29" s="121"/>
      <c r="AX29" s="110"/>
      <c r="AY29" s="110"/>
      <c r="AZ29" s="110"/>
    </row>
    <row r="30" spans="1:53" ht="8.25" customHeight="1" x14ac:dyDescent="0.25">
      <c r="B30" s="45"/>
      <c r="C30" s="49"/>
      <c r="D30" s="49"/>
      <c r="E30" s="49"/>
      <c r="F30" s="44"/>
      <c r="G30" s="64"/>
      <c r="H30" s="64"/>
      <c r="I30" s="64"/>
      <c r="J30" s="49"/>
      <c r="K30" s="66"/>
      <c r="L30" s="44"/>
      <c r="M30" s="44"/>
      <c r="N30" s="44"/>
      <c r="O30" s="44"/>
      <c r="P30" s="44"/>
      <c r="Q30" s="44"/>
      <c r="R30" s="64"/>
      <c r="S30" s="64"/>
      <c r="T30" s="64"/>
      <c r="U30" s="64"/>
      <c r="V30" s="49"/>
      <c r="W30" s="49"/>
      <c r="X30" s="49"/>
      <c r="Y30" s="46"/>
      <c r="AA30" s="120"/>
      <c r="AC30" s="144"/>
      <c r="AD30" s="145"/>
      <c r="AE30" s="120"/>
      <c r="AF30" s="122"/>
      <c r="AH30" s="122"/>
      <c r="AI30" s="121"/>
      <c r="AJ30" s="122"/>
      <c r="AK30" s="121"/>
      <c r="AX30" s="110"/>
      <c r="AY30" s="110"/>
      <c r="AZ30" s="110"/>
    </row>
    <row r="31" spans="1:53" x14ac:dyDescent="0.25">
      <c r="B31" s="45"/>
      <c r="C31" s="49" t="s">
        <v>101</v>
      </c>
      <c r="D31" s="49"/>
      <c r="E31" s="49"/>
      <c r="F31" s="44"/>
      <c r="G31" s="50" t="s">
        <v>0</v>
      </c>
      <c r="H31" s="265">
        <v>0</v>
      </c>
      <c r="I31" s="265"/>
      <c r="J31" s="49"/>
      <c r="K31" s="248" t="s">
        <v>19</v>
      </c>
      <c r="L31" s="257"/>
      <c r="M31" s="249"/>
      <c r="N31" s="49"/>
      <c r="O31" s="44"/>
      <c r="P31" s="44"/>
      <c r="Q31" s="44"/>
      <c r="R31" s="64"/>
      <c r="S31" s="64"/>
      <c r="T31" s="64"/>
      <c r="U31" s="64"/>
      <c r="V31" s="49"/>
      <c r="W31" s="49"/>
      <c r="X31" s="49"/>
      <c r="Y31" s="46"/>
      <c r="AA31" s="120"/>
      <c r="AC31" s="146"/>
      <c r="AD31" s="146"/>
      <c r="AF31" s="122"/>
      <c r="AH31" s="122"/>
      <c r="AI31" s="121"/>
      <c r="AJ31" s="122"/>
      <c r="AK31" s="121"/>
      <c r="AX31" s="110"/>
      <c r="AY31" s="110"/>
      <c r="AZ31" s="110"/>
    </row>
    <row r="32" spans="1:53" ht="18" customHeight="1" x14ac:dyDescent="0.25">
      <c r="B32" s="45"/>
      <c r="C32" s="209" t="s">
        <v>102</v>
      </c>
      <c r="D32" s="49"/>
      <c r="E32" s="49"/>
      <c r="F32" s="44"/>
      <c r="G32" s="50"/>
      <c r="H32" s="50"/>
      <c r="I32" s="50"/>
      <c r="J32" s="49"/>
      <c r="K32" s="49"/>
      <c r="L32" s="49"/>
      <c r="M32" s="49"/>
      <c r="N32" s="49"/>
      <c r="O32" s="44"/>
      <c r="P32" s="44"/>
      <c r="Q32" s="44"/>
      <c r="R32" s="64"/>
      <c r="S32" s="64"/>
      <c r="T32" s="64"/>
      <c r="U32" s="64"/>
      <c r="V32" s="49"/>
      <c r="W32" s="49"/>
      <c r="X32" s="49"/>
      <c r="Y32" s="46"/>
      <c r="AA32" s="120"/>
      <c r="AC32" s="146"/>
      <c r="AD32" s="147"/>
      <c r="AF32" s="122"/>
      <c r="AH32" s="122"/>
      <c r="AI32" s="121"/>
      <c r="AJ32" s="122"/>
      <c r="AK32" s="121"/>
      <c r="AX32" s="110"/>
      <c r="AY32" s="110"/>
      <c r="AZ32" s="110"/>
    </row>
    <row r="33" spans="2:52" ht="21" hidden="1" customHeight="1" x14ac:dyDescent="0.25">
      <c r="B33" s="45"/>
      <c r="C33" s="49" t="s">
        <v>31</v>
      </c>
      <c r="D33" s="49"/>
      <c r="E33" s="49"/>
      <c r="F33" s="44"/>
      <c r="G33" s="50"/>
      <c r="H33" s="266" t="s">
        <v>10</v>
      </c>
      <c r="I33" s="267"/>
      <c r="J33" s="49"/>
      <c r="K33" s="49"/>
      <c r="L33" s="49"/>
      <c r="M33" s="49"/>
      <c r="N33" s="49"/>
      <c r="O33" s="44"/>
      <c r="P33" s="44"/>
      <c r="Q33" s="44"/>
      <c r="R33" s="64"/>
      <c r="S33" s="64"/>
      <c r="T33" s="64"/>
      <c r="U33" s="64"/>
      <c r="V33" s="49"/>
      <c r="W33" s="49"/>
      <c r="X33" s="49"/>
      <c r="Y33" s="46"/>
      <c r="AA33" s="120"/>
      <c r="AC33" s="146"/>
      <c r="AD33" s="147"/>
      <c r="AF33" s="122"/>
      <c r="AH33" s="122"/>
      <c r="AI33" s="121"/>
      <c r="AJ33" s="122"/>
      <c r="AK33" s="121"/>
      <c r="AX33" s="110"/>
      <c r="AY33" s="110"/>
      <c r="AZ33" s="110"/>
    </row>
    <row r="34" spans="2:52" ht="9.75" hidden="1" customHeight="1" x14ac:dyDescent="0.25">
      <c r="B34" s="45"/>
      <c r="C34" s="49"/>
      <c r="D34" s="49"/>
      <c r="E34" s="49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6"/>
      <c r="AC34" s="147"/>
      <c r="AD34" s="147"/>
      <c r="AX34" s="110"/>
      <c r="AY34" s="110"/>
      <c r="AZ34" s="110"/>
    </row>
    <row r="35" spans="2:52" hidden="1" x14ac:dyDescent="0.25">
      <c r="B35" s="45"/>
      <c r="C35" s="49" t="s">
        <v>62</v>
      </c>
      <c r="D35" s="49"/>
      <c r="E35" s="49"/>
      <c r="F35" s="44"/>
      <c r="G35" s="64" t="s">
        <v>0</v>
      </c>
      <c r="H35" s="248">
        <v>0</v>
      </c>
      <c r="I35" s="249"/>
      <c r="J35" s="100"/>
      <c r="K35" s="248" t="s">
        <v>63</v>
      </c>
      <c r="L35" s="257"/>
      <c r="M35" s="249"/>
      <c r="N35" s="100"/>
      <c r="O35" s="98" t="s">
        <v>73</v>
      </c>
      <c r="P35" s="100"/>
      <c r="Q35" s="100"/>
      <c r="R35" s="100"/>
      <c r="S35" s="98" t="s">
        <v>74</v>
      </c>
      <c r="T35" s="44"/>
      <c r="U35" s="44"/>
      <c r="V35" s="44"/>
      <c r="W35" s="44"/>
      <c r="X35" s="44"/>
      <c r="Y35" s="46"/>
      <c r="AC35" s="147"/>
      <c r="AD35" s="147"/>
      <c r="AX35" s="110"/>
      <c r="AY35" s="110"/>
      <c r="AZ35" s="110"/>
    </row>
    <row r="36" spans="2:52" hidden="1" x14ac:dyDescent="0.25">
      <c r="B36" s="45"/>
      <c r="C36" s="49"/>
      <c r="D36" s="49"/>
      <c r="E36" s="49"/>
      <c r="F36" s="44"/>
      <c r="G36" s="44"/>
      <c r="H36" s="100"/>
      <c r="I36" s="100"/>
      <c r="J36" s="100"/>
      <c r="K36" s="100"/>
      <c r="L36" s="100"/>
      <c r="M36" s="100"/>
      <c r="N36" s="100"/>
      <c r="O36" s="100" t="s">
        <v>63</v>
      </c>
      <c r="P36" s="44"/>
      <c r="Q36" s="44"/>
      <c r="R36" s="44"/>
      <c r="S36" s="44" t="s">
        <v>77</v>
      </c>
      <c r="T36" s="44"/>
      <c r="U36" s="44"/>
      <c r="V36" s="44"/>
      <c r="W36" s="44"/>
      <c r="X36" s="44"/>
      <c r="Y36" s="46"/>
      <c r="AX36" s="110"/>
      <c r="AY36" s="110"/>
      <c r="AZ36" s="110"/>
    </row>
    <row r="37" spans="2:52" hidden="1" x14ac:dyDescent="0.25">
      <c r="B37" s="45"/>
      <c r="C37" s="49"/>
      <c r="D37" s="49"/>
      <c r="E37" s="49"/>
      <c r="F37" s="44"/>
      <c r="G37" s="44"/>
      <c r="H37" s="100"/>
      <c r="I37" s="100"/>
      <c r="J37" s="100"/>
      <c r="K37" s="100"/>
      <c r="L37" s="100"/>
      <c r="M37" s="100"/>
      <c r="N37" s="100"/>
      <c r="O37" s="100" t="s">
        <v>72</v>
      </c>
      <c r="P37" s="44"/>
      <c r="Q37" s="44"/>
      <c r="R37" s="44"/>
      <c r="S37" s="44" t="s">
        <v>76</v>
      </c>
      <c r="T37" s="44"/>
      <c r="U37" s="44"/>
      <c r="V37" s="44"/>
      <c r="W37" s="44"/>
      <c r="X37" s="44"/>
      <c r="Y37" s="46"/>
      <c r="AX37" s="110"/>
      <c r="AY37" s="110"/>
      <c r="AZ37" s="110"/>
    </row>
    <row r="38" spans="2:52" hidden="1" x14ac:dyDescent="0.25">
      <c r="B38" s="45"/>
      <c r="C38" s="49"/>
      <c r="D38" s="49"/>
      <c r="E38" s="49"/>
      <c r="F38" s="44"/>
      <c r="G38" s="44"/>
      <c r="H38" s="100"/>
      <c r="I38" s="100"/>
      <c r="J38" s="100"/>
      <c r="K38" s="100"/>
      <c r="L38" s="100"/>
      <c r="M38" s="100"/>
      <c r="N38" s="100"/>
      <c r="O38" s="100"/>
      <c r="P38" s="44"/>
      <c r="Q38" s="44"/>
      <c r="R38" s="44"/>
      <c r="S38" s="44"/>
      <c r="T38" s="44"/>
      <c r="U38" s="44"/>
      <c r="V38" s="44"/>
      <c r="W38" s="44"/>
      <c r="X38" s="44"/>
      <c r="Y38" s="46"/>
      <c r="AX38" s="110"/>
      <c r="AY38" s="110"/>
      <c r="AZ38" s="110"/>
    </row>
    <row r="39" spans="2:52" ht="15.75" thickBot="1" x14ac:dyDescent="0.3">
      <c r="B39" s="55"/>
      <c r="C39" s="65"/>
      <c r="D39" s="65"/>
      <c r="E39" s="65"/>
      <c r="F39" s="56"/>
      <c r="G39" s="56"/>
      <c r="H39" s="101"/>
      <c r="I39" s="101"/>
      <c r="J39" s="101"/>
      <c r="K39" s="101"/>
      <c r="L39" s="101"/>
      <c r="M39" s="101"/>
      <c r="N39" s="101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61"/>
      <c r="AX39" s="110"/>
      <c r="AY39" s="110"/>
      <c r="AZ39" s="110"/>
    </row>
    <row r="40" spans="2:52" ht="15.75" thickBot="1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AX40" s="110"/>
      <c r="AY40" s="110"/>
      <c r="AZ40" s="110"/>
    </row>
    <row r="41" spans="2:52" x14ac:dyDescent="0.25">
      <c r="B41" s="221" t="s">
        <v>33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3"/>
    </row>
    <row r="42" spans="2:52" x14ac:dyDescent="0.25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6"/>
    </row>
    <row r="43" spans="2:52" hidden="1" x14ac:dyDescent="0.25">
      <c r="B43" s="45"/>
      <c r="C43" s="44"/>
      <c r="D43" s="44"/>
      <c r="E43" s="44"/>
      <c r="F43" s="44"/>
      <c r="G43" s="44"/>
      <c r="H43" s="44" t="s">
        <v>57</v>
      </c>
      <c r="I43" s="44"/>
      <c r="J43" s="44"/>
      <c r="K43" s="44"/>
      <c r="L43" s="44" t="s">
        <v>53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6"/>
    </row>
    <row r="44" spans="2:52" hidden="1" x14ac:dyDescent="0.25">
      <c r="B44" s="45"/>
      <c r="C44" s="44" t="s">
        <v>55</v>
      </c>
      <c r="D44" s="44"/>
      <c r="E44" s="44"/>
      <c r="F44" s="44"/>
      <c r="G44" s="50" t="s">
        <v>0</v>
      </c>
      <c r="H44" s="268">
        <f>IF(C22="Yes",R22,0)</f>
        <v>0</v>
      </c>
      <c r="I44" s="269"/>
      <c r="J44" s="44"/>
      <c r="K44" s="50" t="s">
        <v>0</v>
      </c>
      <c r="L44" s="268">
        <f>IF(C22="Yes",U22,0)</f>
        <v>0</v>
      </c>
      <c r="M44" s="269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6"/>
    </row>
    <row r="45" spans="2:52" hidden="1" x14ac:dyDescent="0.25">
      <c r="B45" s="45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6"/>
    </row>
    <row r="46" spans="2:52" x14ac:dyDescent="0.25">
      <c r="B46" s="45"/>
      <c r="C46" s="51" t="s">
        <v>103</v>
      </c>
      <c r="D46" s="44"/>
      <c r="E46" s="44"/>
      <c r="F46" s="44"/>
      <c r="G46" s="50" t="s">
        <v>0</v>
      </c>
      <c r="H46" s="263">
        <v>0</v>
      </c>
      <c r="I46" s="26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6"/>
    </row>
    <row r="47" spans="2:52" ht="15.75" thickBot="1" x14ac:dyDescent="0.3">
      <c r="B47" s="55"/>
      <c r="C47" s="140"/>
      <c r="D47" s="56"/>
      <c r="E47" s="56"/>
      <c r="F47" s="56"/>
      <c r="G47" s="123"/>
      <c r="H47" s="148"/>
      <c r="I47" s="148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61"/>
    </row>
    <row r="48" spans="2:52" ht="15.75" thickBot="1" x14ac:dyDescent="0.3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</row>
    <row r="49" spans="2:40" x14ac:dyDescent="0.25">
      <c r="B49" s="221" t="s">
        <v>34</v>
      </c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3"/>
    </row>
    <row r="50" spans="2:40" x14ac:dyDescent="0.25">
      <c r="B50" s="45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6"/>
    </row>
    <row r="51" spans="2:40" x14ac:dyDescent="0.25">
      <c r="B51" s="45"/>
      <c r="C51" s="44"/>
      <c r="D51" s="44"/>
      <c r="E51" s="44"/>
      <c r="F51" s="44"/>
      <c r="G51" s="44"/>
      <c r="H51" s="98" t="s">
        <v>59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6"/>
    </row>
    <row r="52" spans="2:40" x14ac:dyDescent="0.25">
      <c r="B52" s="45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6"/>
    </row>
    <row r="53" spans="2:40" x14ac:dyDescent="0.25">
      <c r="B53" s="45"/>
      <c r="C53" s="44" t="s">
        <v>30</v>
      </c>
      <c r="D53" s="44"/>
      <c r="E53" s="44"/>
      <c r="F53" s="44"/>
      <c r="G53" s="50" t="s">
        <v>0</v>
      </c>
      <c r="H53" s="236">
        <f>(IF(K31="Projected",H31*90%,H31))+(IF(K29="Projected",H29*90%,H29))+(IF(K35="Based on projected affordability",H35*50%,H35*80%))</f>
        <v>1000</v>
      </c>
      <c r="I53" s="238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6"/>
    </row>
    <row r="54" spans="2:40" x14ac:dyDescent="0.25">
      <c r="B54" s="45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6"/>
    </row>
    <row r="55" spans="2:40" x14ac:dyDescent="0.25">
      <c r="B55" s="45"/>
      <c r="C55" s="44" t="s">
        <v>56</v>
      </c>
      <c r="D55" s="44"/>
      <c r="E55" s="44"/>
      <c r="F55" s="44"/>
      <c r="G55" s="50" t="s">
        <v>0</v>
      </c>
      <c r="H55" s="236">
        <f>L44+H46</f>
        <v>0</v>
      </c>
      <c r="I55" s="238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6"/>
      <c r="AK55" s="105"/>
      <c r="AL55" s="105"/>
      <c r="AM55" s="105"/>
      <c r="AN55" s="105"/>
    </row>
    <row r="56" spans="2:40" x14ac:dyDescent="0.25">
      <c r="B56" s="45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6"/>
      <c r="AK56" s="105"/>
      <c r="AL56" s="105"/>
      <c r="AM56" s="105"/>
      <c r="AN56" s="105"/>
    </row>
    <row r="57" spans="2:40" x14ac:dyDescent="0.25">
      <c r="B57" s="45"/>
      <c r="C57" s="44" t="s">
        <v>54</v>
      </c>
      <c r="D57" s="44"/>
      <c r="E57" s="44"/>
      <c r="F57" s="44"/>
      <c r="G57" s="50" t="s">
        <v>0</v>
      </c>
      <c r="H57" s="236">
        <f>T15</f>
        <v>3303.7684220440415</v>
      </c>
      <c r="I57" s="238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6"/>
      <c r="AK57" s="105"/>
      <c r="AL57" s="105"/>
      <c r="AM57" s="105"/>
      <c r="AN57" s="105"/>
    </row>
    <row r="58" spans="2:40" ht="15.75" thickBot="1" x14ac:dyDescent="0.3">
      <c r="B58" s="45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6"/>
      <c r="AK58" s="105"/>
      <c r="AL58" s="105"/>
      <c r="AM58" s="105"/>
      <c r="AN58" s="105"/>
    </row>
    <row r="59" spans="2:40" ht="25.15" customHeight="1" thickBot="1" x14ac:dyDescent="0.3">
      <c r="B59" s="45"/>
      <c r="C59" s="44" t="s">
        <v>32</v>
      </c>
      <c r="D59" s="44"/>
      <c r="E59" s="44"/>
      <c r="F59" s="44"/>
      <c r="G59" s="50"/>
      <c r="H59" s="270">
        <f>((H57+H55)/H53)</f>
        <v>3.3037684220440413</v>
      </c>
      <c r="I59" s="271"/>
      <c r="J59" s="44"/>
      <c r="K59" s="272" t="str">
        <f>IF(H59&gt;0.75,"DECLINED: Outside of policy - please speak with our support team on 0161 933 7101",(IF(H59&gt;0.5,"REFERRAL: Higher TSDI's considered on merit; please speak to your BDM before submitting this case","ACCEPT")))</f>
        <v>DECLINED: Outside of policy - please speak with our support team on 0161 933 7101</v>
      </c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44"/>
      <c r="W59" s="44"/>
      <c r="X59" s="44"/>
      <c r="Y59" s="46"/>
      <c r="AK59" s="105"/>
      <c r="AL59" s="105"/>
      <c r="AM59" s="105"/>
      <c r="AN59" s="105"/>
    </row>
    <row r="60" spans="2:40" ht="15.75" thickBot="1" x14ac:dyDescent="0.3">
      <c r="B60" s="55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61"/>
    </row>
    <row r="61" spans="2:40" ht="23.25" x14ac:dyDescent="0.35">
      <c r="B61" s="111"/>
    </row>
    <row r="62" spans="2:40" ht="23.25" x14ac:dyDescent="0.35">
      <c r="B62" s="111"/>
    </row>
    <row r="63" spans="2:40" x14ac:dyDescent="0.25">
      <c r="I63" s="112"/>
    </row>
    <row r="64" spans="2:40" x14ac:dyDescent="0.25">
      <c r="I64" s="113"/>
      <c r="J64" s="114"/>
    </row>
  </sheetData>
  <sheetProtection algorithmName="SHA-512" hashValue="/d0GVDqYzAXSEKMQiYjRQEIQj7Oyk5/I3WvLE+24TFoWiLFGP8wTrRZI3Z8dRVGyu3xmgzb2cun4/5DSeV9FAg==" saltValue="t9R8hbu7kaBfh5ViCdpgvg==" spinCount="100000" sheet="1" selectLockedCells="1"/>
  <mergeCells count="38">
    <mergeCell ref="B19:Y19"/>
    <mergeCell ref="C22:D22"/>
    <mergeCell ref="R21:S21"/>
    <mergeCell ref="O21:P21"/>
    <mergeCell ref="K21:M21"/>
    <mergeCell ref="F21:G21"/>
    <mergeCell ref="C21:D21"/>
    <mergeCell ref="U22:V22"/>
    <mergeCell ref="R22:S22"/>
    <mergeCell ref="O22:P22"/>
    <mergeCell ref="K22:M22"/>
    <mergeCell ref="F22:G22"/>
    <mergeCell ref="H59:I59"/>
    <mergeCell ref="H57:I57"/>
    <mergeCell ref="H33:I33"/>
    <mergeCell ref="H46:I46"/>
    <mergeCell ref="B49:Y49"/>
    <mergeCell ref="H53:I53"/>
    <mergeCell ref="H55:I55"/>
    <mergeCell ref="B41:Y41"/>
    <mergeCell ref="K59:U59"/>
    <mergeCell ref="H35:I35"/>
    <mergeCell ref="K35:M35"/>
    <mergeCell ref="I15:M15"/>
    <mergeCell ref="T15:V15"/>
    <mergeCell ref="B7:Y7"/>
    <mergeCell ref="I9:M9"/>
    <mergeCell ref="I11:M11"/>
    <mergeCell ref="E13:G13"/>
    <mergeCell ref="I13:M13"/>
    <mergeCell ref="T13:V13"/>
    <mergeCell ref="K29:M29"/>
    <mergeCell ref="H44:I44"/>
    <mergeCell ref="L44:M44"/>
    <mergeCell ref="B26:Y26"/>
    <mergeCell ref="H29:I29"/>
    <mergeCell ref="H31:I31"/>
    <mergeCell ref="K31:M3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'Lookup Commercial Term'!$H$3:$H$5</xm:f>
          </x14:formula1>
          <xm:sqref>I15:M15 F22:G22</xm:sqref>
        </x14:dataValidation>
        <x14:dataValidation type="list" allowBlank="1" showInputMessage="1" showErrorMessage="1">
          <x14:formula1>
            <xm:f>'Lookup Commercial Term'!$E$3:$E$4</xm:f>
          </x14:formula1>
          <xm:sqref>E13:G13</xm:sqref>
        </x14:dataValidation>
        <x14:dataValidation type="list" allowBlank="1" showInputMessage="1" showErrorMessage="1">
          <x14:formula1>
            <xm:f>'Lookup Commercial Term'!$K$4:$K$5</xm:f>
          </x14:formula1>
          <xm:sqref>H33:I33 C22:D22</xm:sqref>
        </x14:dataValidation>
        <x14:dataValidation type="list" allowBlank="1" showInputMessage="1" showErrorMessage="1">
          <x14:formula1>
            <xm:f>'Lookup Commercial Term'!$B$4:$B$5</xm:f>
          </x14:formula1>
          <xm:sqref>K29:M29 K31:M31</xm:sqref>
        </x14:dataValidation>
        <x14:dataValidation type="list" allowBlank="1" showInputMessage="1" showErrorMessage="1">
          <x14:formula1>
            <xm:f>'Lookup Commercial Term'!$F$18:$F$19</xm:f>
          </x14:formula1>
          <xm:sqref>K35:M35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A19A"/>
  </sheetPr>
  <dimension ref="B1:Z41"/>
  <sheetViews>
    <sheetView showGridLines="0" showRowColHeaders="0" zoomScale="80" zoomScaleNormal="80" workbookViewId="0">
      <selection activeCell="I9" sqref="I9:M9"/>
    </sheetView>
  </sheetViews>
  <sheetFormatPr defaultColWidth="9.140625" defaultRowHeight="15" x14ac:dyDescent="0.25"/>
  <cols>
    <col min="1" max="1" width="10.7109375" style="14" customWidth="1"/>
    <col min="2" max="10" width="9.140625" style="14"/>
    <col min="11" max="11" width="12.28515625" style="14" customWidth="1"/>
    <col min="12" max="16384" width="9.140625" style="14"/>
  </cols>
  <sheetData>
    <row r="1" spans="2:26" ht="38.25" customHeight="1" x14ac:dyDescent="0.25"/>
    <row r="6" spans="2:26" ht="5.25" customHeight="1" x14ac:dyDescent="0.25"/>
    <row r="7" spans="2:26" ht="26.25" customHeight="1" x14ac:dyDescent="0.25">
      <c r="B7" s="273" t="s">
        <v>12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5"/>
    </row>
    <row r="8" spans="2:26" ht="7.5" customHeight="1" x14ac:dyDescent="0.25">
      <c r="B8" s="153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66"/>
    </row>
    <row r="9" spans="2:26" x14ac:dyDescent="0.25">
      <c r="B9" s="155"/>
      <c r="C9" s="156" t="s">
        <v>15</v>
      </c>
      <c r="D9" s="157"/>
      <c r="E9" s="162"/>
      <c r="F9" s="162"/>
      <c r="G9" s="163"/>
      <c r="H9" s="164" t="s">
        <v>0</v>
      </c>
      <c r="I9" s="233">
        <v>100000</v>
      </c>
      <c r="J9" s="234"/>
      <c r="K9" s="234"/>
      <c r="L9" s="234"/>
      <c r="M9" s="235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7"/>
    </row>
    <row r="10" spans="2:26" x14ac:dyDescent="0.25">
      <c r="B10" s="155"/>
      <c r="C10" s="157"/>
      <c r="D10" s="157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7"/>
    </row>
    <row r="11" spans="2:26" x14ac:dyDescent="0.25">
      <c r="B11" s="155"/>
      <c r="C11" s="156" t="s">
        <v>2</v>
      </c>
      <c r="D11" s="157"/>
      <c r="E11" s="162"/>
      <c r="F11" s="162"/>
      <c r="G11" s="162"/>
      <c r="H11" s="163"/>
      <c r="I11" s="227">
        <v>120</v>
      </c>
      <c r="J11" s="228"/>
      <c r="K11" s="228"/>
      <c r="L11" s="228"/>
      <c r="M11" s="229"/>
      <c r="N11" s="162" t="s">
        <v>5</v>
      </c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7"/>
    </row>
    <row r="12" spans="2:26" x14ac:dyDescent="0.25">
      <c r="B12" s="155"/>
      <c r="C12" s="157"/>
      <c r="D12" s="157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7"/>
    </row>
    <row r="13" spans="2:26" x14ac:dyDescent="0.25">
      <c r="B13" s="155"/>
      <c r="C13" s="156" t="s">
        <v>1</v>
      </c>
      <c r="D13" s="157"/>
      <c r="E13" s="230" t="s">
        <v>80</v>
      </c>
      <c r="F13" s="231"/>
      <c r="G13" s="232"/>
      <c r="H13" s="163"/>
      <c r="I13" s="233">
        <v>12.99</v>
      </c>
      <c r="J13" s="234"/>
      <c r="K13" s="234"/>
      <c r="L13" s="234"/>
      <c r="M13" s="235"/>
      <c r="N13" s="162" t="s">
        <v>4</v>
      </c>
      <c r="O13" s="162" t="s">
        <v>13</v>
      </c>
      <c r="P13" s="162"/>
      <c r="Q13" s="162"/>
      <c r="R13" s="162"/>
      <c r="S13" s="164" t="s">
        <v>0</v>
      </c>
      <c r="T13" s="276">
        <f>IF(OR(I9="",I11="",I13="",I15=""),0,IF($I$15="Capital Repayment",-PMT(($I$13/100/12),$I$11,$I$9,0),IF($I$15="Interest Only",$I$9*($I$13/100/12),"")))</f>
        <v>1082.5000000000002</v>
      </c>
      <c r="U13" s="277"/>
      <c r="V13" s="277"/>
      <c r="W13" s="278"/>
      <c r="X13" s="168" t="s">
        <v>6</v>
      </c>
      <c r="Y13" s="162"/>
      <c r="Z13" s="167"/>
    </row>
    <row r="14" spans="2:26" x14ac:dyDescent="0.25">
      <c r="B14" s="155"/>
      <c r="C14" s="157"/>
      <c r="D14" s="157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7"/>
    </row>
    <row r="15" spans="2:26" x14ac:dyDescent="0.25">
      <c r="B15" s="155"/>
      <c r="C15" s="158" t="s">
        <v>3</v>
      </c>
      <c r="D15" s="159"/>
      <c r="E15" s="165"/>
      <c r="F15" s="165"/>
      <c r="G15" s="165"/>
      <c r="H15" s="165"/>
      <c r="I15" s="241" t="s">
        <v>9</v>
      </c>
      <c r="J15" s="242"/>
      <c r="K15" s="242"/>
      <c r="L15" s="242"/>
      <c r="M15" s="243"/>
      <c r="N15" s="163"/>
      <c r="O15" s="162" t="s">
        <v>14</v>
      </c>
      <c r="P15" s="169"/>
      <c r="Q15" s="162"/>
      <c r="R15" s="162"/>
      <c r="S15" s="164" t="s">
        <v>0</v>
      </c>
      <c r="T15" s="276">
        <f>IF(OR(I9="",I11="",I13="",I15="",E13="Please select"),0,IF(OR($E$13="2-yr Fixed",$E$13="3-yr Fixed",$E$13="5-yr Fixed"),$T$13,IF($I$15="Capital Repayment",-PMT((($I$13+'Lookup BTL'!$P$4)/100/12),$I$11,$I$9,0),IF($I$15="Interest Only",$I$9*(($I$13+'Lookup BTL'!$P$4)/100/12),""))))</f>
        <v>1082.5000000000002</v>
      </c>
      <c r="U15" s="277"/>
      <c r="V15" s="277"/>
      <c r="W15" s="278"/>
      <c r="X15" s="168" t="s">
        <v>6</v>
      </c>
      <c r="Y15" s="162"/>
      <c r="Z15" s="167"/>
    </row>
    <row r="16" spans="2:26" ht="9" customHeight="1" x14ac:dyDescent="0.25">
      <c r="B16" s="160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70"/>
    </row>
    <row r="17" spans="2:26" ht="6.75" customHeight="1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24.75" customHeight="1" x14ac:dyDescent="0.25">
      <c r="B18" s="273" t="s">
        <v>104</v>
      </c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5"/>
    </row>
    <row r="19" spans="2:26" ht="7.5" customHeight="1" x14ac:dyDescent="0.25">
      <c r="B19" s="153"/>
      <c r="C19" s="169"/>
      <c r="D19" s="169"/>
      <c r="E19" s="169"/>
      <c r="F19" s="169"/>
      <c r="G19" s="169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66"/>
    </row>
    <row r="20" spans="2:26" x14ac:dyDescent="0.25">
      <c r="B20" s="155"/>
      <c r="C20" s="156" t="s">
        <v>96</v>
      </c>
      <c r="D20" s="171"/>
      <c r="E20" s="171"/>
      <c r="F20" s="169"/>
      <c r="G20" s="169"/>
      <c r="H20" s="172" t="s">
        <v>0</v>
      </c>
      <c r="I20" s="233">
        <v>1000</v>
      </c>
      <c r="J20" s="234"/>
      <c r="K20" s="279"/>
      <c r="L20" s="279"/>
      <c r="M20" s="280"/>
      <c r="N20" s="187"/>
      <c r="O20" s="154"/>
      <c r="P20" s="154"/>
      <c r="Q20" s="281"/>
      <c r="R20" s="282"/>
      <c r="S20" s="282"/>
      <c r="T20" s="174"/>
      <c r="U20" s="174"/>
      <c r="V20" s="174"/>
      <c r="W20" s="174"/>
      <c r="X20" s="154"/>
      <c r="Y20" s="154"/>
      <c r="Z20" s="167"/>
    </row>
    <row r="21" spans="2:26" ht="10.5" customHeight="1" x14ac:dyDescent="0.25">
      <c r="B21" s="160"/>
      <c r="C21" s="173"/>
      <c r="D21" s="173"/>
      <c r="E21" s="173"/>
      <c r="F21" s="173"/>
      <c r="G21" s="173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70"/>
    </row>
    <row r="22" spans="2:26" ht="6.75" customHeight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23.25" customHeight="1" x14ac:dyDescent="0.25">
      <c r="B23" s="273" t="s">
        <v>105</v>
      </c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5"/>
    </row>
    <row r="24" spans="2:26" ht="10.5" customHeight="1" x14ac:dyDescent="0.25">
      <c r="B24" s="153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66"/>
    </row>
    <row r="25" spans="2:26" x14ac:dyDescent="0.25">
      <c r="B25" s="155"/>
      <c r="C25" s="156" t="s">
        <v>17</v>
      </c>
      <c r="D25" s="157"/>
      <c r="E25" s="162"/>
      <c r="F25" s="162"/>
      <c r="G25" s="162"/>
      <c r="H25" s="164" t="s">
        <v>0</v>
      </c>
      <c r="I25" s="233">
        <v>2000</v>
      </c>
      <c r="J25" s="234"/>
      <c r="K25" s="234"/>
      <c r="L25" s="234"/>
      <c r="M25" s="235"/>
      <c r="N25" s="162"/>
      <c r="O25" s="248" t="s">
        <v>18</v>
      </c>
      <c r="P25" s="257"/>
      <c r="Q25" s="249"/>
      <c r="R25" s="162"/>
      <c r="S25" s="162"/>
      <c r="T25" s="162"/>
      <c r="U25" s="162"/>
      <c r="V25" s="162"/>
      <c r="W25" s="162"/>
      <c r="X25" s="162"/>
      <c r="Y25" s="162"/>
      <c r="Z25" s="167"/>
    </row>
    <row r="26" spans="2:26" ht="11.25" customHeight="1" x14ac:dyDescent="0.25">
      <c r="B26" s="160"/>
      <c r="C26" s="175"/>
      <c r="D26" s="175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70"/>
    </row>
    <row r="27" spans="2:26" ht="7.5" customHeight="1" thickBot="1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23.25" customHeight="1" x14ac:dyDescent="0.25">
      <c r="B28" s="290" t="s">
        <v>22</v>
      </c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2"/>
    </row>
    <row r="29" spans="2:26" ht="8.25" customHeight="1" x14ac:dyDescent="0.25">
      <c r="B29" s="182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83"/>
    </row>
    <row r="30" spans="2:26" ht="24.75" hidden="1" customHeight="1" x14ac:dyDescent="0.25">
      <c r="B30" s="184"/>
      <c r="C30" s="157" t="s">
        <v>78</v>
      </c>
      <c r="D30" s="157"/>
      <c r="E30" s="157"/>
      <c r="F30" s="157"/>
      <c r="G30" s="157"/>
      <c r="H30" s="176" t="s">
        <v>79</v>
      </c>
      <c r="I30" s="157"/>
      <c r="J30" s="162" t="s">
        <v>21</v>
      </c>
      <c r="K30" s="177">
        <f>'Lookup BTL'!C9/'Lookup BTL'!C10</f>
        <v>0.86434573829531813</v>
      </c>
      <c r="L30" s="154"/>
      <c r="M30" s="283" t="str">
        <f>IF(K30=0,"",IF($K$30&gt;=$C$34,'Lookup BTL'!C13,'Lookup BTL'!C14))</f>
        <v>ACCEPT</v>
      </c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5"/>
      <c r="Z30" s="185"/>
    </row>
    <row r="31" spans="2:26" ht="24.75" customHeight="1" x14ac:dyDescent="0.25">
      <c r="B31" s="184"/>
      <c r="C31" s="156" t="s">
        <v>91</v>
      </c>
      <c r="D31" s="157"/>
      <c r="E31" s="157"/>
      <c r="F31" s="157"/>
      <c r="G31" s="157"/>
      <c r="H31" s="176"/>
      <c r="I31" s="157"/>
      <c r="J31" s="162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85"/>
    </row>
    <row r="32" spans="2:26" x14ac:dyDescent="0.25">
      <c r="B32" s="182"/>
      <c r="C32" s="265" t="s">
        <v>92</v>
      </c>
      <c r="D32" s="265"/>
      <c r="E32" s="265"/>
      <c r="F32" s="171"/>
      <c r="G32" s="154"/>
      <c r="H32" s="154"/>
      <c r="I32" s="154"/>
      <c r="J32" s="154"/>
      <c r="K32" s="178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83"/>
    </row>
    <row r="33" spans="2:26" hidden="1" x14ac:dyDescent="0.25">
      <c r="B33" s="184"/>
      <c r="C33" s="157"/>
      <c r="D33" s="157"/>
      <c r="E33" s="178"/>
      <c r="F33" s="179" t="e">
        <f>IF($M$32=#REF!,#REF!,"")</f>
        <v>#REF!</v>
      </c>
      <c r="G33" s="180"/>
      <c r="H33" s="180"/>
      <c r="I33" s="162"/>
      <c r="J33" s="156" t="e">
        <f>IF($M$32=#REF!,"FINAL Decision","")</f>
        <v>#REF!</v>
      </c>
      <c r="K33" s="162"/>
      <c r="L33" s="162"/>
      <c r="M33" s="286" t="e">
        <f>IF($M$32=#REF!,IF(D60&gt;=C34,"ACCEPT (with additional income)","DECLINE"),"")</f>
        <v>#REF!</v>
      </c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8"/>
      <c r="Z33" s="185"/>
    </row>
    <row r="34" spans="2:26" ht="15.75" thickBot="1" x14ac:dyDescent="0.3">
      <c r="B34" s="184"/>
      <c r="C34" s="157"/>
      <c r="D34" s="157"/>
      <c r="E34" s="178"/>
      <c r="F34" s="179"/>
      <c r="G34" s="180"/>
      <c r="H34" s="180"/>
      <c r="I34" s="162"/>
      <c r="J34" s="156"/>
      <c r="K34" s="162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85"/>
    </row>
    <row r="35" spans="2:26" ht="21.75" customHeight="1" thickBot="1" x14ac:dyDescent="0.3">
      <c r="B35" s="184"/>
      <c r="C35" s="189" t="s">
        <v>78</v>
      </c>
      <c r="D35" s="188"/>
      <c r="E35" s="13">
        <f>IF(C32="High Rate Tax Payer",145%,125%)</f>
        <v>1.25</v>
      </c>
      <c r="F35" s="179"/>
      <c r="G35" s="180"/>
      <c r="H35" s="181" t="s">
        <v>59</v>
      </c>
      <c r="I35" s="162"/>
      <c r="J35" s="162" t="s">
        <v>21</v>
      </c>
      <c r="K35" s="186">
        <f>'Lookup BTL'!D9/'Lookup BTL'!D10</f>
        <v>0.86434573829531813</v>
      </c>
      <c r="L35" s="174"/>
      <c r="M35" s="289" t="str">
        <f>IF(K35=0,"",IF($K$35&gt;=$E$35,'Lookup BTL'!C13,'Lookup BTL'!C14))</f>
        <v>INSUFFICIENT RENTAL INCOME - Please speak with our support team on 0161 933 7101</v>
      </c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185"/>
    </row>
    <row r="36" spans="2:26" x14ac:dyDescent="0.25">
      <c r="B36" s="184"/>
      <c r="C36" s="156"/>
      <c r="D36" s="157"/>
      <c r="E36" s="157"/>
      <c r="F36" s="157"/>
      <c r="G36" s="162"/>
      <c r="H36" s="157"/>
      <c r="I36" s="178"/>
      <c r="J36" s="162"/>
      <c r="K36" s="156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85"/>
    </row>
    <row r="37" spans="2:26" x14ac:dyDescent="0.25">
      <c r="B37" s="182"/>
      <c r="C37" s="187"/>
      <c r="D37" s="187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83"/>
    </row>
    <row r="38" spans="2:26" x14ac:dyDescent="0.25">
      <c r="B38" s="130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9"/>
    </row>
    <row r="39" spans="2:26" x14ac:dyDescent="0.25">
      <c r="B39" s="130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9"/>
    </row>
    <row r="40" spans="2:26" x14ac:dyDescent="0.25">
      <c r="B40" s="130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9"/>
    </row>
    <row r="41" spans="2:26" ht="15.75" thickBot="1" x14ac:dyDescent="0.3">
      <c r="B41" s="137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6"/>
    </row>
  </sheetData>
  <sheetProtection algorithmName="SHA-512" hashValue="ZkIb/8qI1hGSeBWUlpU8CmH76RM3odsCINd4JCZIFTD3LTaCB3GDDUABg4RUdkeyOgVB7TXJu8WBq1JpCgmdpg==" saltValue="ZkMwvHZP22R3fFrW5ArMCw==" spinCount="100000" sheet="1" selectLockedCells="1"/>
  <mergeCells count="19">
    <mergeCell ref="I25:M25"/>
    <mergeCell ref="O25:Q25"/>
    <mergeCell ref="M30:Y30"/>
    <mergeCell ref="M33:Y33"/>
    <mergeCell ref="M35:Y35"/>
    <mergeCell ref="B28:Z28"/>
    <mergeCell ref="C32:E32"/>
    <mergeCell ref="B23:Z23"/>
    <mergeCell ref="B7:Z7"/>
    <mergeCell ref="I9:M9"/>
    <mergeCell ref="I11:M11"/>
    <mergeCell ref="E13:G13"/>
    <mergeCell ref="I13:M13"/>
    <mergeCell ref="T13:W13"/>
    <mergeCell ref="I15:M15"/>
    <mergeCell ref="T15:W15"/>
    <mergeCell ref="B18:Z18"/>
    <mergeCell ref="I20:M20"/>
    <mergeCell ref="Q20:S2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'Lookup BTL'!$B$3:$B$5</xm:f>
          </x14:formula1>
          <xm:sqref>O25:Q25</xm:sqref>
        </x14:dataValidation>
        <x14:dataValidation type="list" allowBlank="1" showInputMessage="1" showErrorMessage="1">
          <x14:formula1>
            <xm:f>'Lookup BTL'!$E$3:$E$5</xm:f>
          </x14:formula1>
          <xm:sqref>E13:G13</xm:sqref>
        </x14:dataValidation>
        <x14:dataValidation type="list" allowBlank="1" showInputMessage="1" showErrorMessage="1">
          <x14:formula1>
            <xm:f>'Lookup BTL'!$H$3:$H$5</xm:f>
          </x14:formula1>
          <xm:sqref>I15:M15</xm:sqref>
        </x14:dataValidation>
        <x14:dataValidation type="list" allowBlank="1" showInputMessage="1" showErrorMessage="1">
          <x14:formula1>
            <xm:f>'Lookup BTL'!$L$8:$L$11</xm:f>
          </x14:formula1>
          <xm:sqref>C32:E32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9B114"/>
    <pageSetUpPr fitToPage="1"/>
  </sheetPr>
  <dimension ref="A1:BA63"/>
  <sheetViews>
    <sheetView showGridLines="0" topLeftCell="A11" zoomScale="80" zoomScaleNormal="80" workbookViewId="0">
      <selection activeCell="O28" sqref="O28:Q28"/>
    </sheetView>
  </sheetViews>
  <sheetFormatPr defaultColWidth="9.140625" defaultRowHeight="15" x14ac:dyDescent="0.25"/>
  <cols>
    <col min="1" max="1" width="11.42578125" style="67" customWidth="1"/>
    <col min="2" max="2" width="3.5703125" style="37" customWidth="1"/>
    <col min="3" max="3" width="10.140625" style="37" customWidth="1"/>
    <col min="4" max="4" width="14.140625" style="37" customWidth="1"/>
    <col min="5" max="14" width="10.140625" style="37" customWidth="1"/>
    <col min="15" max="16" width="12.140625" style="37" customWidth="1"/>
    <col min="17" max="17" width="10.28515625" style="37" customWidth="1"/>
    <col min="18" max="18" width="8.85546875" style="37" customWidth="1"/>
    <col min="19" max="19" width="10.140625" style="37" customWidth="1"/>
    <col min="20" max="20" width="4.85546875" style="37" customWidth="1"/>
    <col min="21" max="22" width="10.140625" style="37" customWidth="1"/>
    <col min="23" max="23" width="4.85546875" style="37" customWidth="1"/>
    <col min="24" max="25" width="10.140625" style="37" customWidth="1"/>
    <col min="26" max="26" width="4.28515625" style="37" customWidth="1"/>
    <col min="27" max="27" width="2.28515625" style="37" customWidth="1"/>
    <col min="28" max="28" width="12.5703125" style="37" customWidth="1"/>
    <col min="29" max="29" width="4.7109375" style="39" customWidth="1"/>
    <col min="30" max="30" width="12.7109375" style="37" customWidth="1"/>
    <col min="31" max="31" width="19.85546875" style="37" customWidth="1"/>
    <col min="32" max="32" width="3.85546875" style="37" customWidth="1"/>
    <col min="33" max="33" width="19.28515625" style="37" customWidth="1"/>
    <col min="34" max="34" width="14" style="37" customWidth="1"/>
    <col min="35" max="35" width="11.28515625" style="37" customWidth="1"/>
    <col min="36" max="36" width="12.140625" style="37" customWidth="1"/>
    <col min="37" max="38" width="15.7109375" style="37" customWidth="1"/>
    <col min="39" max="40" width="9.140625" style="37" customWidth="1"/>
    <col min="41" max="41" width="13.85546875" style="37" customWidth="1"/>
    <col min="42" max="43" width="9.140625" style="37" customWidth="1"/>
    <col min="44" max="44" width="11" style="37" customWidth="1"/>
    <col min="45" max="45" width="11.5703125" style="37" customWidth="1"/>
    <col min="46" max="47" width="11" style="37" customWidth="1"/>
    <col min="48" max="50" width="10.85546875" style="37" customWidth="1"/>
    <col min="51" max="53" width="11" style="40" customWidth="1"/>
    <col min="54" max="54" width="14.5703125" style="37" customWidth="1"/>
    <col min="55" max="56" width="9.140625" style="37" customWidth="1"/>
    <col min="57" max="58" width="10.42578125" style="37" customWidth="1"/>
    <col min="59" max="59" width="9.140625" style="37" customWidth="1"/>
    <col min="60" max="60" width="11.28515625" style="37" customWidth="1"/>
    <col min="61" max="61" width="10.140625" style="37" customWidth="1"/>
    <col min="62" max="105" width="9.140625" style="37" customWidth="1"/>
    <col min="106" max="16384" width="9.140625" style="37"/>
  </cols>
  <sheetData>
    <row r="1" spans="1:53" s="67" customFormat="1" x14ac:dyDescent="0.25">
      <c r="AC1" s="70"/>
      <c r="AY1" s="200"/>
      <c r="AZ1" s="200"/>
      <c r="BA1" s="200"/>
    </row>
    <row r="2" spans="1:53" s="67" customFormat="1" x14ac:dyDescent="0.25">
      <c r="AC2" s="70"/>
      <c r="AY2" s="200"/>
      <c r="AZ2" s="200"/>
      <c r="BA2" s="200"/>
    </row>
    <row r="3" spans="1:53" s="67" customFormat="1" x14ac:dyDescent="0.25">
      <c r="AC3" s="70"/>
      <c r="AY3" s="200"/>
      <c r="AZ3" s="200"/>
      <c r="BA3" s="200"/>
    </row>
    <row r="4" spans="1:53" s="67" customFormat="1" x14ac:dyDescent="0.25">
      <c r="AC4" s="70"/>
      <c r="AY4" s="200"/>
      <c r="AZ4" s="200"/>
      <c r="BA4" s="200"/>
    </row>
    <row r="5" spans="1:53" s="67" customFormat="1" x14ac:dyDescent="0.25">
      <c r="AC5" s="70"/>
      <c r="AY5" s="200"/>
      <c r="AZ5" s="200"/>
      <c r="BA5" s="200"/>
    </row>
    <row r="6" spans="1:53" s="67" customFormat="1" ht="6.75" customHeight="1" x14ac:dyDescent="0.25">
      <c r="AC6" s="73"/>
      <c r="AD6" s="86"/>
      <c r="AE6" s="74"/>
      <c r="AY6" s="200"/>
      <c r="AZ6" s="200"/>
      <c r="BA6" s="200"/>
    </row>
    <row r="7" spans="1:53" ht="6" customHeight="1" thickBo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70"/>
      <c r="AD7" s="67"/>
      <c r="AE7" s="67"/>
      <c r="AF7" s="67"/>
      <c r="AG7" s="67"/>
      <c r="AH7" s="67"/>
      <c r="AI7" s="67"/>
      <c r="AJ7" s="67"/>
      <c r="AK7" s="67"/>
    </row>
    <row r="8" spans="1:53" s="38" customFormat="1" ht="21.75" customHeight="1" thickBot="1" x14ac:dyDescent="0.3">
      <c r="A8" s="68"/>
      <c r="B8" s="322" t="s">
        <v>12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4"/>
      <c r="AD8" s="68"/>
      <c r="AE8" s="68"/>
      <c r="AF8" s="68"/>
      <c r="AG8" s="68"/>
      <c r="AH8" s="68"/>
      <c r="AI8" s="68"/>
      <c r="AJ8" s="68"/>
      <c r="AK8" s="68"/>
      <c r="AL8" s="68"/>
      <c r="AY8" s="41"/>
      <c r="AZ8" s="41"/>
      <c r="BA8" s="41"/>
    </row>
    <row r="9" spans="1:53" ht="9" customHeight="1" x14ac:dyDescent="0.25">
      <c r="B9" s="328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31"/>
      <c r="AD9" s="71"/>
      <c r="AE9" s="71"/>
      <c r="AF9" s="71"/>
      <c r="AG9" s="67"/>
      <c r="AH9" s="67"/>
      <c r="AI9" s="67"/>
      <c r="AJ9" s="68"/>
      <c r="AK9" s="68"/>
      <c r="AL9" s="68"/>
    </row>
    <row r="10" spans="1:53" s="38" customFormat="1" ht="24.75" customHeight="1" x14ac:dyDescent="0.25">
      <c r="A10" s="68"/>
      <c r="B10" s="78"/>
      <c r="C10" s="47" t="s">
        <v>15</v>
      </c>
      <c r="D10" s="52"/>
      <c r="E10" s="49"/>
      <c r="F10" s="49"/>
      <c r="G10" s="49"/>
      <c r="H10" s="50" t="s">
        <v>0</v>
      </c>
      <c r="I10" s="340">
        <v>100000</v>
      </c>
      <c r="J10" s="340"/>
      <c r="K10" s="340"/>
      <c r="L10" s="340"/>
      <c r="M10" s="340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79"/>
      <c r="AD10" s="68"/>
      <c r="AE10" s="68"/>
      <c r="AF10" s="72"/>
      <c r="AG10" s="87"/>
      <c r="AH10" s="69"/>
      <c r="AI10" s="68"/>
      <c r="AJ10" s="68"/>
      <c r="AK10" s="68"/>
      <c r="AL10" s="68"/>
      <c r="AY10" s="41"/>
      <c r="AZ10" s="41"/>
      <c r="BA10" s="41"/>
    </row>
    <row r="11" spans="1:53" s="38" customFormat="1" ht="9" customHeight="1" x14ac:dyDescent="0.25">
      <c r="A11" s="68"/>
      <c r="B11" s="78"/>
      <c r="C11" s="52"/>
      <c r="D11" s="52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326"/>
      <c r="AD11" s="68"/>
      <c r="AE11" s="68"/>
      <c r="AF11" s="68"/>
      <c r="AG11" s="68"/>
      <c r="AH11" s="68"/>
      <c r="AI11" s="68"/>
      <c r="AJ11" s="68"/>
      <c r="AK11" s="68"/>
      <c r="AL11" s="68"/>
      <c r="AY11" s="41"/>
      <c r="AZ11" s="41"/>
      <c r="BA11" s="41"/>
    </row>
    <row r="12" spans="1:53" s="38" customFormat="1" ht="24.75" customHeight="1" x14ac:dyDescent="0.25">
      <c r="A12" s="68"/>
      <c r="B12" s="78"/>
      <c r="C12" s="47" t="s">
        <v>2</v>
      </c>
      <c r="D12" s="52"/>
      <c r="E12" s="49"/>
      <c r="F12" s="49"/>
      <c r="G12" s="49"/>
      <c r="H12" s="49"/>
      <c r="I12" s="262">
        <v>100</v>
      </c>
      <c r="J12" s="262"/>
      <c r="K12" s="262"/>
      <c r="L12" s="262"/>
      <c r="M12" s="262"/>
      <c r="N12" s="49" t="s">
        <v>5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343"/>
      <c r="AD12" s="86"/>
      <c r="AE12" s="88"/>
      <c r="AF12" s="72"/>
      <c r="AG12" s="89"/>
      <c r="AH12" s="68"/>
      <c r="AI12" s="68"/>
      <c r="AJ12" s="68"/>
      <c r="AK12" s="68"/>
      <c r="AL12" s="68"/>
      <c r="AY12" s="41"/>
      <c r="AZ12" s="41"/>
      <c r="BA12" s="41"/>
    </row>
    <row r="13" spans="1:53" s="38" customFormat="1" ht="9" customHeight="1" x14ac:dyDescent="0.25">
      <c r="A13" s="68"/>
      <c r="B13" s="78"/>
      <c r="C13" s="52"/>
      <c r="D13" s="52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326"/>
      <c r="AD13" s="68"/>
      <c r="AE13" s="68"/>
      <c r="AF13" s="68"/>
      <c r="AG13" s="68"/>
      <c r="AH13" s="68"/>
      <c r="AI13" s="68"/>
      <c r="AJ13" s="68"/>
      <c r="AK13" s="68"/>
      <c r="AL13" s="68"/>
      <c r="AY13" s="41"/>
      <c r="AZ13" s="41"/>
      <c r="BA13" s="41"/>
    </row>
    <row r="14" spans="1:53" s="38" customFormat="1" ht="24.75" customHeight="1" x14ac:dyDescent="0.25">
      <c r="A14" s="68"/>
      <c r="B14" s="78"/>
      <c r="C14" s="47" t="s">
        <v>1</v>
      </c>
      <c r="D14" s="52"/>
      <c r="E14" s="346" t="s">
        <v>16</v>
      </c>
      <c r="F14" s="346"/>
      <c r="G14" s="346"/>
      <c r="H14" s="49"/>
      <c r="I14" s="340">
        <v>10</v>
      </c>
      <c r="J14" s="340"/>
      <c r="K14" s="340"/>
      <c r="L14" s="340"/>
      <c r="M14" s="340"/>
      <c r="N14" s="49" t="s">
        <v>4</v>
      </c>
      <c r="O14" s="49" t="s">
        <v>13</v>
      </c>
      <c r="P14" s="49"/>
      <c r="Q14" s="49"/>
      <c r="R14" s="49"/>
      <c r="S14" s="50" t="s">
        <v>0</v>
      </c>
      <c r="T14" s="347">
        <f>IF(OR(I10="",I12="",I14="",I16=""),0,IF($I$16="Capital Repayment",-PMT(($I$14/100/12),$I$12,$I$10,0),IF($I$16="Interest Only",$I$10*($I$14/100/12),"")))</f>
        <v>1477.8073047479331</v>
      </c>
      <c r="U14" s="347"/>
      <c r="V14" s="347"/>
      <c r="W14" s="347"/>
      <c r="X14" s="59" t="s">
        <v>6</v>
      </c>
      <c r="Y14" s="49"/>
      <c r="Z14" s="49"/>
      <c r="AA14" s="49"/>
      <c r="AB14" s="49"/>
      <c r="AC14" s="344"/>
      <c r="AD14" s="68"/>
      <c r="AE14" s="68"/>
      <c r="AF14" s="91"/>
      <c r="AG14" s="92"/>
      <c r="AH14" s="75"/>
      <c r="AI14" s="68"/>
      <c r="AJ14" s="68"/>
      <c r="AK14" s="68"/>
      <c r="AL14" s="68"/>
      <c r="AY14" s="41"/>
      <c r="AZ14" s="41"/>
      <c r="BA14" s="41"/>
    </row>
    <row r="15" spans="1:53" s="38" customFormat="1" ht="8.25" customHeight="1" x14ac:dyDescent="0.25">
      <c r="A15" s="68"/>
      <c r="B15" s="78"/>
      <c r="C15" s="52"/>
      <c r="D15" s="52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326"/>
      <c r="AD15" s="68"/>
      <c r="AE15" s="68"/>
      <c r="AF15" s="68"/>
      <c r="AG15" s="68"/>
      <c r="AH15" s="75"/>
      <c r="AI15" s="68"/>
      <c r="AJ15" s="68"/>
      <c r="AK15" s="68"/>
      <c r="AL15" s="68"/>
      <c r="AY15" s="41"/>
      <c r="AZ15" s="41"/>
      <c r="BA15" s="41"/>
    </row>
    <row r="16" spans="1:53" s="38" customFormat="1" ht="24.75" customHeight="1" x14ac:dyDescent="0.25">
      <c r="A16" s="68"/>
      <c r="B16" s="78"/>
      <c r="C16" s="53" t="s">
        <v>3</v>
      </c>
      <c r="D16" s="54"/>
      <c r="E16" s="57"/>
      <c r="F16" s="57"/>
      <c r="G16" s="57"/>
      <c r="H16" s="57"/>
      <c r="I16" s="345" t="s">
        <v>8</v>
      </c>
      <c r="J16" s="345"/>
      <c r="K16" s="345"/>
      <c r="L16" s="345"/>
      <c r="M16" s="345"/>
      <c r="N16" s="49"/>
      <c r="O16" s="49" t="s">
        <v>14</v>
      </c>
      <c r="P16" s="60"/>
      <c r="Q16" s="49"/>
      <c r="R16" s="49"/>
      <c r="S16" s="50" t="s">
        <v>0</v>
      </c>
      <c r="T16" s="347">
        <f>IF(OR(I10="",I12="",I14="",I16="",E14="Please select"),0,IF(OR($E$14="2-yr Fixed",$E$14="3-yr Fixed",$E$14="5-yr Fixed"),$T$14,IF($I$16="Capital Repayment",-PMT((($I$14+'Holiday Let lookup'!P4)/100/12),$I$12,$I$10,0),IF($I$16="Interest Only",$I$10*(($I$14+'Holiday Let lookup'!P4)/100/12),""))))</f>
        <v>1531.6653314089651</v>
      </c>
      <c r="U16" s="347"/>
      <c r="V16" s="347"/>
      <c r="W16" s="347"/>
      <c r="X16" s="59" t="s">
        <v>6</v>
      </c>
      <c r="Y16" s="49"/>
      <c r="Z16" s="49"/>
      <c r="AA16" s="49"/>
      <c r="AB16" s="44"/>
      <c r="AC16" s="79"/>
      <c r="AD16" s="68"/>
      <c r="AE16" s="93"/>
      <c r="AF16" s="89"/>
      <c r="AG16" s="93"/>
      <c r="AH16" s="75"/>
      <c r="AI16" s="68"/>
      <c r="AJ16" s="68"/>
      <c r="AK16" s="68"/>
      <c r="AL16" s="68"/>
      <c r="AY16" s="41"/>
      <c r="AZ16" s="41"/>
      <c r="BA16" s="41"/>
    </row>
    <row r="17" spans="1:53" ht="9" customHeight="1" thickBot="1" x14ac:dyDescent="0.3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327"/>
      <c r="AD17" s="67"/>
      <c r="AE17" s="67"/>
      <c r="AF17" s="67"/>
      <c r="AG17" s="67"/>
      <c r="AH17" s="75"/>
      <c r="AI17" s="68"/>
      <c r="AJ17" s="67"/>
      <c r="AK17" s="67"/>
      <c r="AL17" s="67"/>
    </row>
    <row r="18" spans="1:53" ht="6.75" customHeight="1" thickBot="1" x14ac:dyDescent="0.3">
      <c r="AA18" s="67"/>
      <c r="AB18" s="67"/>
      <c r="AC18" s="70"/>
      <c r="AD18" s="67"/>
      <c r="AE18" s="67"/>
      <c r="AF18" s="67"/>
      <c r="AG18" s="67"/>
      <c r="AH18" s="75"/>
      <c r="AI18" s="68"/>
      <c r="AJ18" s="67"/>
      <c r="AK18" s="67"/>
      <c r="AL18" s="67"/>
    </row>
    <row r="19" spans="1:53" s="38" customFormat="1" ht="21.75" customHeight="1" thickBot="1" x14ac:dyDescent="0.3">
      <c r="A19" s="68"/>
      <c r="B19" s="319" t="s">
        <v>104</v>
      </c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1"/>
      <c r="AD19" s="68"/>
      <c r="AE19" s="68"/>
      <c r="AF19" s="68"/>
      <c r="AG19" s="68"/>
      <c r="AH19" s="75"/>
      <c r="AI19" s="68"/>
      <c r="AJ19" s="68"/>
      <c r="AK19" s="68"/>
      <c r="AL19" s="68"/>
      <c r="AY19" s="41"/>
      <c r="AZ19" s="41"/>
      <c r="BA19" s="41"/>
    </row>
    <row r="20" spans="1:53" ht="9" customHeight="1" x14ac:dyDescent="0.25">
      <c r="B20" s="328"/>
      <c r="C20" s="329"/>
      <c r="D20" s="329"/>
      <c r="E20" s="329"/>
      <c r="F20" s="330"/>
      <c r="G20" s="330"/>
      <c r="H20" s="330"/>
      <c r="I20" s="330"/>
      <c r="J20" s="330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31"/>
      <c r="AD20" s="71"/>
      <c r="AE20" s="71"/>
      <c r="AF20" s="71"/>
      <c r="AG20" s="67"/>
      <c r="AH20" s="75"/>
      <c r="AI20" s="68"/>
      <c r="AJ20" s="67"/>
      <c r="AK20" s="67"/>
      <c r="AL20" s="67"/>
    </row>
    <row r="21" spans="1:53" ht="25.5" customHeight="1" x14ac:dyDescent="0.25">
      <c r="B21" s="45"/>
      <c r="C21" s="294" t="s">
        <v>107</v>
      </c>
      <c r="D21" s="295"/>
      <c r="E21" s="44"/>
      <c r="F21" s="296" t="s">
        <v>44</v>
      </c>
      <c r="G21" s="297"/>
      <c r="H21" s="215"/>
      <c r="I21" s="215" t="s">
        <v>2</v>
      </c>
      <c r="J21" s="215"/>
      <c r="K21" s="298" t="s">
        <v>47</v>
      </c>
      <c r="L21" s="299"/>
      <c r="M21" s="299"/>
      <c r="N21" s="44"/>
      <c r="O21" s="298" t="s">
        <v>45</v>
      </c>
      <c r="P21" s="299"/>
      <c r="Q21" s="44"/>
      <c r="R21" s="298" t="s">
        <v>46</v>
      </c>
      <c r="S21" s="299"/>
      <c r="T21" s="44"/>
      <c r="U21" s="44" t="s">
        <v>53</v>
      </c>
      <c r="V21" s="44"/>
      <c r="W21" s="44"/>
      <c r="X21" s="44"/>
      <c r="Y21" s="44"/>
      <c r="Z21" s="44"/>
      <c r="AA21" s="44"/>
      <c r="AB21" s="44"/>
      <c r="AC21" s="325"/>
      <c r="AD21" s="71"/>
      <c r="AE21" s="71"/>
      <c r="AF21" s="71"/>
      <c r="AG21" s="67"/>
      <c r="AH21" s="75"/>
      <c r="AI21" s="68"/>
      <c r="AJ21" s="67"/>
      <c r="AK21" s="67"/>
      <c r="AL21" s="67"/>
    </row>
    <row r="22" spans="1:53" ht="25.5" customHeight="1" x14ac:dyDescent="0.25">
      <c r="B22" s="45"/>
      <c r="C22" s="265" t="s">
        <v>11</v>
      </c>
      <c r="D22" s="332"/>
      <c r="E22" s="44"/>
      <c r="F22" s="333" t="s">
        <v>8</v>
      </c>
      <c r="G22" s="334"/>
      <c r="H22" s="60"/>
      <c r="I22" s="42">
        <v>120</v>
      </c>
      <c r="J22" s="60" t="s">
        <v>5</v>
      </c>
      <c r="K22" s="335">
        <v>43831</v>
      </c>
      <c r="L22" s="336"/>
      <c r="M22" s="337"/>
      <c r="N22" s="44"/>
      <c r="O22" s="338">
        <v>120000</v>
      </c>
      <c r="P22" s="339"/>
      <c r="Q22" s="44"/>
      <c r="R22" s="338">
        <v>600</v>
      </c>
      <c r="S22" s="339"/>
      <c r="T22" s="44"/>
      <c r="U22" s="341">
        <f ca="1">IF(F22="Interest Only",(O22*IR_Stress!$E$4/12)+R22,IF(F22="Capital Repayment",R22*(1+VLOOKUP('Holiday Let lookup'!$V$3,'Holiday Let lookup'!$B$23:$G$63,'Holiday Let lookup'!$P$12,FALSE)),0))</f>
        <v>618</v>
      </c>
      <c r="V22" s="342"/>
      <c r="W22" s="44"/>
      <c r="X22" s="44"/>
      <c r="Y22" s="44"/>
      <c r="Z22" s="44"/>
      <c r="AA22" s="44"/>
      <c r="AB22" s="44"/>
      <c r="AC22" s="325"/>
      <c r="AD22" s="71"/>
      <c r="AE22" s="71"/>
      <c r="AF22" s="71"/>
      <c r="AG22" s="67"/>
      <c r="AH22" s="75"/>
      <c r="AI22" s="68"/>
      <c r="AJ22" s="67"/>
      <c r="AK22" s="67"/>
      <c r="AL22" s="67"/>
    </row>
    <row r="23" spans="1:53" ht="9" customHeight="1" x14ac:dyDescent="0.25">
      <c r="B23" s="45"/>
      <c r="C23" s="44"/>
      <c r="D23" s="44"/>
      <c r="E23" s="44"/>
      <c r="F23" s="60"/>
      <c r="G23" s="60"/>
      <c r="H23" s="60"/>
      <c r="I23" s="60"/>
      <c r="J23" s="60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325"/>
      <c r="AD23" s="71"/>
      <c r="AE23" s="71"/>
      <c r="AF23" s="71"/>
      <c r="AG23" s="67"/>
      <c r="AH23" s="75"/>
      <c r="AI23" s="68"/>
      <c r="AJ23" s="67"/>
      <c r="AK23" s="67"/>
      <c r="AL23" s="67"/>
    </row>
    <row r="24" spans="1:53" ht="9" customHeight="1" thickBot="1" x14ac:dyDescent="0.3">
      <c r="B24" s="55"/>
      <c r="C24" s="56"/>
      <c r="D24" s="56"/>
      <c r="E24" s="56"/>
      <c r="F24" s="63"/>
      <c r="G24" s="63"/>
      <c r="H24" s="63"/>
      <c r="I24" s="63"/>
      <c r="J24" s="63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318"/>
      <c r="AD24" s="74"/>
      <c r="AE24" s="74"/>
      <c r="AF24" s="67"/>
      <c r="AG24" s="67"/>
      <c r="AH24" s="75"/>
      <c r="AI24" s="68"/>
      <c r="AJ24" s="67"/>
      <c r="AK24" s="67"/>
      <c r="AL24" s="67"/>
    </row>
    <row r="25" spans="1:53" ht="6.75" customHeight="1" thickBot="1" x14ac:dyDescent="0.3">
      <c r="AA25" s="67"/>
      <c r="AB25" s="67"/>
      <c r="AC25" s="73"/>
      <c r="AD25" s="74"/>
      <c r="AE25" s="74"/>
      <c r="AF25" s="67"/>
      <c r="AG25" s="67"/>
      <c r="AH25" s="75"/>
      <c r="AI25" s="68"/>
      <c r="AJ25" s="67"/>
      <c r="AK25" s="67"/>
      <c r="AL25" s="67"/>
    </row>
    <row r="26" spans="1:53" s="38" customFormat="1" ht="21.75" customHeight="1" thickBot="1" x14ac:dyDescent="0.3">
      <c r="A26" s="68"/>
      <c r="B26" s="322" t="s">
        <v>20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4"/>
      <c r="AD26" s="86"/>
      <c r="AE26" s="94"/>
      <c r="AF26" s="95"/>
      <c r="AG26" s="68"/>
      <c r="AH26" s="75"/>
      <c r="AI26" s="68"/>
      <c r="AJ26" s="68"/>
      <c r="AK26" s="68"/>
      <c r="AL26" s="68"/>
      <c r="AY26" s="41"/>
      <c r="AZ26" s="41"/>
      <c r="BA26" s="41"/>
    </row>
    <row r="27" spans="1:53" ht="9" customHeight="1" x14ac:dyDescent="0.25">
      <c r="B27" s="45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316"/>
      <c r="AD27" s="74"/>
      <c r="AE27" s="74"/>
      <c r="AF27" s="71"/>
      <c r="AG27" s="67"/>
      <c r="AH27" s="75"/>
      <c r="AI27" s="68"/>
      <c r="AJ27" s="67"/>
      <c r="AK27" s="67"/>
      <c r="AL27" s="67"/>
    </row>
    <row r="28" spans="1:53" s="38" customFormat="1" x14ac:dyDescent="0.25">
      <c r="A28" s="68"/>
      <c r="B28" s="78"/>
      <c r="C28" s="47" t="s">
        <v>100</v>
      </c>
      <c r="D28" s="52"/>
      <c r="E28" s="49"/>
      <c r="F28" s="49"/>
      <c r="G28" s="49"/>
      <c r="H28" s="50" t="s">
        <v>0</v>
      </c>
      <c r="I28" s="340">
        <v>5000</v>
      </c>
      <c r="J28" s="340"/>
      <c r="K28" s="340"/>
      <c r="L28" s="340"/>
      <c r="M28" s="340"/>
      <c r="N28" s="49"/>
      <c r="O28" s="265" t="s">
        <v>72</v>
      </c>
      <c r="P28" s="265"/>
      <c r="Q28" s="265"/>
      <c r="R28" s="49"/>
      <c r="S28" s="314" t="s">
        <v>73</v>
      </c>
      <c r="T28" s="314"/>
      <c r="U28" s="314"/>
      <c r="V28" s="314"/>
      <c r="W28" s="314" t="s">
        <v>74</v>
      </c>
      <c r="X28" s="314"/>
      <c r="Y28" s="49"/>
      <c r="Z28" s="49"/>
      <c r="AA28" s="49"/>
      <c r="AB28" s="49"/>
      <c r="AC28" s="317"/>
      <c r="AD28" s="86"/>
      <c r="AE28" s="68"/>
      <c r="AF28" s="72"/>
      <c r="AG28" s="68"/>
      <c r="AH28" s="75"/>
      <c r="AI28" s="68"/>
      <c r="AJ28" s="68"/>
      <c r="AK28" s="68"/>
      <c r="AL28" s="68"/>
      <c r="AY28" s="41"/>
      <c r="AZ28" s="41"/>
      <c r="BA28" s="41"/>
    </row>
    <row r="29" spans="1:53" s="38" customFormat="1" x14ac:dyDescent="0.25">
      <c r="A29" s="68"/>
      <c r="B29" s="78"/>
      <c r="C29" s="47"/>
      <c r="D29" s="52"/>
      <c r="E29" s="49"/>
      <c r="F29" s="49"/>
      <c r="G29" s="49"/>
      <c r="H29" s="50"/>
      <c r="I29" s="348"/>
      <c r="J29" s="348"/>
      <c r="K29" s="348"/>
      <c r="L29" s="348"/>
      <c r="M29" s="348"/>
      <c r="N29" s="49"/>
      <c r="O29" s="49"/>
      <c r="P29" s="49"/>
      <c r="Q29" s="315"/>
      <c r="R29" s="49"/>
      <c r="S29" s="209" t="s">
        <v>63</v>
      </c>
      <c r="T29" s="209"/>
      <c r="U29" s="209"/>
      <c r="V29" s="209"/>
      <c r="W29" s="49" t="s">
        <v>77</v>
      </c>
      <c r="X29" s="49"/>
      <c r="Y29" s="49"/>
      <c r="Z29" s="49"/>
      <c r="AA29" s="49"/>
      <c r="AB29" s="49"/>
      <c r="AC29" s="317"/>
      <c r="AD29" s="86"/>
      <c r="AE29" s="68"/>
      <c r="AF29" s="72"/>
      <c r="AG29" s="68"/>
      <c r="AH29" s="75"/>
      <c r="AI29" s="68"/>
      <c r="AJ29" s="68"/>
      <c r="AK29" s="68"/>
      <c r="AL29" s="68"/>
      <c r="AY29" s="41"/>
      <c r="AZ29" s="41"/>
      <c r="BA29" s="41"/>
    </row>
    <row r="30" spans="1:53" s="38" customFormat="1" x14ac:dyDescent="0.25">
      <c r="A30" s="68"/>
      <c r="B30" s="78"/>
      <c r="C30" s="47"/>
      <c r="D30" s="52"/>
      <c r="E30" s="49"/>
      <c r="F30" s="49"/>
      <c r="G30" s="49"/>
      <c r="H30" s="50"/>
      <c r="I30" s="348"/>
      <c r="J30" s="348"/>
      <c r="K30" s="348"/>
      <c r="L30" s="348"/>
      <c r="M30" s="348"/>
      <c r="N30" s="49"/>
      <c r="O30" s="49"/>
      <c r="P30" s="49"/>
      <c r="Q30" s="49"/>
      <c r="R30" s="49"/>
      <c r="S30" s="209" t="s">
        <v>72</v>
      </c>
      <c r="T30" s="209"/>
      <c r="U30" s="209"/>
      <c r="V30" s="209"/>
      <c r="W30" s="49" t="s">
        <v>76</v>
      </c>
      <c r="X30" s="49"/>
      <c r="Y30" s="49"/>
      <c r="Z30" s="49"/>
      <c r="AA30" s="49"/>
      <c r="AB30" s="49"/>
      <c r="AC30" s="317"/>
      <c r="AD30" s="86"/>
      <c r="AE30" s="68"/>
      <c r="AF30" s="72"/>
      <c r="AG30" s="68"/>
      <c r="AH30" s="75"/>
      <c r="AI30" s="68"/>
      <c r="AJ30" s="68"/>
      <c r="AK30" s="68"/>
      <c r="AL30" s="68"/>
      <c r="AY30" s="41"/>
      <c r="AZ30" s="41"/>
      <c r="BA30" s="41"/>
    </row>
    <row r="31" spans="1:53" s="38" customFormat="1" x14ac:dyDescent="0.25">
      <c r="A31" s="68"/>
      <c r="B31" s="78"/>
      <c r="C31" s="47"/>
      <c r="D31" s="52"/>
      <c r="E31" s="49"/>
      <c r="F31" s="49"/>
      <c r="G31" s="49"/>
      <c r="H31" s="50"/>
      <c r="I31" s="348"/>
      <c r="J31" s="348"/>
      <c r="K31" s="348"/>
      <c r="L31" s="348"/>
      <c r="M31" s="348"/>
      <c r="N31" s="49"/>
      <c r="O31" s="315"/>
      <c r="P31" s="52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317"/>
      <c r="AD31" s="86"/>
      <c r="AE31" s="68"/>
      <c r="AF31" s="72"/>
      <c r="AG31" s="68"/>
      <c r="AH31" s="75"/>
      <c r="AI31" s="68"/>
      <c r="AJ31" s="68"/>
      <c r="AK31" s="68"/>
      <c r="AL31" s="68"/>
      <c r="AY31" s="41"/>
      <c r="AZ31" s="41"/>
      <c r="BA31" s="41"/>
    </row>
    <row r="32" spans="1:53" ht="15.75" thickBot="1" x14ac:dyDescent="0.3">
      <c r="B32" s="55"/>
      <c r="C32" s="80"/>
      <c r="D32" s="80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318"/>
      <c r="AD32" s="86"/>
      <c r="AE32" s="74"/>
      <c r="AF32" s="67"/>
      <c r="AG32" s="67"/>
      <c r="AH32" s="67"/>
      <c r="AI32" s="67"/>
      <c r="AJ32" s="67"/>
      <c r="AK32" s="67"/>
      <c r="AL32" s="67"/>
    </row>
    <row r="33" spans="1:53" ht="6.75" customHeight="1" thickBot="1" x14ac:dyDescent="0.3"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73"/>
      <c r="AD33" s="86"/>
      <c r="AE33" s="74"/>
      <c r="AF33" s="67"/>
      <c r="AG33" s="67"/>
      <c r="AH33" s="67"/>
      <c r="AI33" s="67"/>
      <c r="AJ33" s="67"/>
      <c r="AK33" s="67"/>
      <c r="AL33" s="67"/>
    </row>
    <row r="34" spans="1:53" s="38" customFormat="1" ht="21.75" customHeight="1" thickBot="1" x14ac:dyDescent="0.3">
      <c r="A34" s="68"/>
      <c r="B34" s="322" t="s">
        <v>22</v>
      </c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4"/>
      <c r="AD34" s="86"/>
      <c r="AE34" s="95"/>
      <c r="AF34" s="95"/>
      <c r="AG34" s="68"/>
      <c r="AH34" s="68"/>
      <c r="AI34" s="68"/>
      <c r="AJ34" s="68"/>
      <c r="AK34" s="68"/>
      <c r="AL34" s="68"/>
      <c r="AY34" s="41"/>
      <c r="AZ34" s="41"/>
      <c r="BA34" s="41"/>
    </row>
    <row r="35" spans="1:53" ht="9" customHeight="1" thickBot="1" x14ac:dyDescent="0.3">
      <c r="B35" s="45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325"/>
      <c r="AD35" s="86"/>
      <c r="AE35" s="95"/>
      <c r="AF35" s="95"/>
      <c r="AG35" s="68"/>
      <c r="AH35" s="68"/>
      <c r="AI35" s="68"/>
      <c r="AJ35" s="68"/>
      <c r="AK35" s="68"/>
      <c r="AL35" s="68"/>
      <c r="AM35" s="38"/>
      <c r="AN35" s="38"/>
      <c r="AO35" s="38"/>
      <c r="AP35" s="38"/>
      <c r="AQ35" s="38"/>
    </row>
    <row r="36" spans="1:53" s="38" customFormat="1" ht="24.75" customHeight="1" thickBot="1" x14ac:dyDescent="0.3">
      <c r="A36" s="68"/>
      <c r="B36" s="78"/>
      <c r="C36" s="156" t="s">
        <v>91</v>
      </c>
      <c r="D36" s="52"/>
      <c r="E36" s="81"/>
      <c r="F36" s="82"/>
      <c r="G36" s="83"/>
      <c r="H36" s="85" t="s">
        <v>59</v>
      </c>
      <c r="I36" s="49"/>
      <c r="J36" s="49" t="s">
        <v>21</v>
      </c>
      <c r="K36" s="99">
        <f>'Holiday Let lookup'!D9/'Holiday Let lookup'!D10</f>
        <v>2.6115365530408892</v>
      </c>
      <c r="L36" s="202"/>
      <c r="M36" s="261" t="str">
        <f>IF('Holiday Let ICR'!K36=0,"",IF('Holiday Let ICR'!$K$36&gt;=$E$39,'Holiday Let lookup'!$C$13,'Holiday Let lookup'!$C$14))</f>
        <v>ACCEPT</v>
      </c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49"/>
      <c r="AA36" s="49"/>
      <c r="AB36" s="49"/>
      <c r="AC36" s="326"/>
      <c r="AD36" s="86"/>
      <c r="AE36" s="95"/>
      <c r="AF36" s="95"/>
      <c r="AG36" s="68"/>
      <c r="AH36" s="68"/>
      <c r="AI36" s="68"/>
      <c r="AJ36" s="68"/>
      <c r="AK36" s="68"/>
      <c r="AL36" s="68"/>
      <c r="AY36" s="41"/>
      <c r="AZ36" s="41"/>
      <c r="BA36" s="41"/>
    </row>
    <row r="37" spans="1:53" s="38" customFormat="1" ht="16.5" customHeight="1" x14ac:dyDescent="0.25">
      <c r="A37" s="68"/>
      <c r="B37" s="78"/>
      <c r="C37" s="265" t="s">
        <v>92</v>
      </c>
      <c r="D37" s="265"/>
      <c r="E37" s="265"/>
      <c r="F37" s="52"/>
      <c r="G37" s="49"/>
      <c r="H37" s="52"/>
      <c r="I37" s="81"/>
      <c r="J37" s="49"/>
      <c r="K37" s="47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49"/>
      <c r="AA37" s="49"/>
      <c r="AB37" s="49"/>
      <c r="AC37" s="326"/>
      <c r="AD37" s="86"/>
      <c r="AE37" s="72"/>
      <c r="AF37" s="72"/>
      <c r="AG37" s="68"/>
      <c r="AH37" s="68"/>
      <c r="AI37" s="68"/>
      <c r="AJ37" s="68"/>
      <c r="AK37" s="68"/>
      <c r="AL37" s="68"/>
      <c r="AY37" s="41"/>
      <c r="AZ37" s="41"/>
      <c r="BA37" s="41"/>
    </row>
    <row r="38" spans="1:53" ht="15" customHeight="1" x14ac:dyDescent="0.25">
      <c r="B38" s="45"/>
      <c r="C38" s="214"/>
      <c r="D38" s="21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325"/>
      <c r="AD38" s="86"/>
      <c r="AE38" s="67"/>
      <c r="AF38" s="67"/>
      <c r="AG38" s="67"/>
      <c r="AH38" s="67"/>
      <c r="AI38" s="67"/>
      <c r="AJ38" s="67"/>
      <c r="AK38" s="67"/>
      <c r="AL38" s="67"/>
    </row>
    <row r="39" spans="1:53" ht="19.5" customHeight="1" x14ac:dyDescent="0.25">
      <c r="B39" s="45"/>
      <c r="C39" s="189" t="s">
        <v>78</v>
      </c>
      <c r="D39" s="44"/>
      <c r="E39" s="201">
        <f>IF(C37="High Rate Tax Payer",145%,125%)</f>
        <v>1.25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325"/>
      <c r="AD39" s="67"/>
      <c r="AE39" s="67"/>
      <c r="AF39" s="67"/>
      <c r="AG39" s="67"/>
      <c r="AH39" s="67"/>
      <c r="AI39" s="67"/>
      <c r="AJ39" s="67"/>
      <c r="AK39" s="67"/>
      <c r="AL39" s="67"/>
    </row>
    <row r="40" spans="1:53" x14ac:dyDescent="0.25"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 t="s">
        <v>26</v>
      </c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325"/>
      <c r="AD40" s="67"/>
      <c r="AE40" s="67"/>
      <c r="AF40" s="67"/>
      <c r="AG40" s="67"/>
      <c r="AH40" s="67"/>
      <c r="AI40" s="67"/>
      <c r="AJ40" s="67"/>
      <c r="AK40" s="67"/>
      <c r="AL40" s="67"/>
    </row>
    <row r="41" spans="1:5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325"/>
      <c r="AD41" s="67"/>
      <c r="AE41" s="67"/>
      <c r="AF41" s="67"/>
      <c r="AG41" s="67"/>
      <c r="AH41" s="67"/>
      <c r="AI41" s="67"/>
      <c r="AJ41" s="67"/>
      <c r="AK41" s="67"/>
      <c r="AL41" s="67"/>
    </row>
    <row r="42" spans="1:53" x14ac:dyDescent="0.25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325"/>
      <c r="AD42" s="67"/>
      <c r="AE42" s="67"/>
      <c r="AF42" s="67"/>
      <c r="AG42" s="67"/>
      <c r="AH42" s="67"/>
      <c r="AI42" s="67"/>
      <c r="AJ42" s="67"/>
      <c r="AK42" s="67"/>
      <c r="AL42" s="67"/>
    </row>
    <row r="43" spans="1:53" ht="15.75" thickBot="1" x14ac:dyDescent="0.3"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327"/>
      <c r="AD43" s="67"/>
      <c r="AE43" s="67"/>
      <c r="AF43" s="67"/>
      <c r="AG43" s="67"/>
      <c r="AH43" s="67"/>
      <c r="AI43" s="67"/>
      <c r="AJ43" s="67"/>
      <c r="AK43" s="67"/>
      <c r="AL43" s="67"/>
    </row>
    <row r="44" spans="1:53" x14ac:dyDescent="0.2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70"/>
      <c r="AD44" s="67"/>
      <c r="AE44" s="67"/>
      <c r="AF44" s="67"/>
      <c r="AG44" s="67"/>
      <c r="AH44" s="67"/>
      <c r="AI44" s="67"/>
      <c r="AJ44" s="67"/>
      <c r="AK44" s="67"/>
      <c r="AL44" s="67"/>
    </row>
    <row r="45" spans="1:53" x14ac:dyDescent="0.2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70"/>
      <c r="AD45" s="67"/>
      <c r="AE45" s="67"/>
      <c r="AF45" s="67"/>
      <c r="AG45" s="67"/>
      <c r="AH45" s="67"/>
      <c r="AI45" s="67"/>
      <c r="AJ45" s="67"/>
      <c r="AK45" s="67"/>
      <c r="AL45" s="67"/>
    </row>
    <row r="46" spans="1:53" x14ac:dyDescent="0.2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70"/>
      <c r="AD46" s="67"/>
      <c r="AE46" s="67"/>
      <c r="AF46" s="67"/>
      <c r="AG46" s="67"/>
      <c r="AH46" s="67"/>
      <c r="AI46" s="67"/>
      <c r="AJ46" s="67"/>
      <c r="AK46" s="67"/>
      <c r="AL46" s="67"/>
    </row>
    <row r="47" spans="1:53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70"/>
      <c r="AD47" s="67"/>
      <c r="AE47" s="67"/>
      <c r="AF47" s="67"/>
      <c r="AG47" s="67"/>
      <c r="AH47" s="67"/>
      <c r="AI47" s="67"/>
      <c r="AJ47" s="67"/>
      <c r="AK47" s="67"/>
      <c r="AL47" s="67"/>
    </row>
    <row r="48" spans="1:53" x14ac:dyDescent="0.2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70"/>
      <c r="AD48" s="67"/>
      <c r="AE48" s="67"/>
      <c r="AF48" s="67"/>
      <c r="AG48" s="67"/>
      <c r="AH48" s="67"/>
      <c r="AI48" s="67"/>
      <c r="AJ48" s="67"/>
      <c r="AK48" s="67"/>
      <c r="AL48" s="67"/>
    </row>
    <row r="49" spans="2:38" x14ac:dyDescent="0.2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70"/>
      <c r="AD49" s="67"/>
      <c r="AE49" s="67"/>
      <c r="AF49" s="67"/>
      <c r="AG49" s="67"/>
      <c r="AH49" s="67"/>
      <c r="AI49" s="67"/>
      <c r="AJ49" s="67"/>
      <c r="AK49" s="67"/>
      <c r="AL49" s="67"/>
    </row>
    <row r="50" spans="2:38" x14ac:dyDescent="0.2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70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2:38" x14ac:dyDescent="0.2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70"/>
      <c r="AD51" s="67"/>
      <c r="AE51" s="67"/>
      <c r="AF51" s="67"/>
      <c r="AG51" s="67"/>
      <c r="AH51" s="67"/>
      <c r="AI51" s="67"/>
      <c r="AJ51" s="67"/>
      <c r="AK51" s="67"/>
      <c r="AL51" s="67"/>
    </row>
    <row r="52" spans="2:38" x14ac:dyDescent="0.2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70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2:38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70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2:38" x14ac:dyDescent="0.2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70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2:38" x14ac:dyDescent="0.2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70"/>
      <c r="AD55" s="67"/>
      <c r="AE55" s="67"/>
      <c r="AF55" s="67"/>
      <c r="AG55" s="67"/>
      <c r="AH55" s="67"/>
      <c r="AI55" s="67"/>
      <c r="AJ55" s="67"/>
      <c r="AK55" s="67"/>
      <c r="AL55" s="67"/>
    </row>
    <row r="56" spans="2:38" x14ac:dyDescent="0.25">
      <c r="B56" s="67"/>
      <c r="C56" s="9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70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2:38" x14ac:dyDescent="0.25">
      <c r="AA57" s="67"/>
      <c r="AB57" s="67"/>
      <c r="AC57" s="70"/>
      <c r="AD57" s="67"/>
      <c r="AE57" s="67"/>
      <c r="AF57" s="67"/>
      <c r="AG57" s="67"/>
      <c r="AH57" s="67"/>
      <c r="AI57" s="67"/>
      <c r="AJ57" s="67"/>
      <c r="AK57" s="67"/>
      <c r="AL57" s="67"/>
    </row>
    <row r="58" spans="2:38" x14ac:dyDescent="0.25">
      <c r="C58" s="76"/>
      <c r="AA58" s="67"/>
      <c r="AB58" s="67"/>
      <c r="AC58" s="70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2:38" x14ac:dyDescent="0.25">
      <c r="D59" s="77"/>
      <c r="AA59" s="67"/>
      <c r="AB59" s="67"/>
      <c r="AC59" s="70"/>
      <c r="AD59" s="67"/>
      <c r="AE59" s="67"/>
      <c r="AF59" s="67"/>
      <c r="AG59" s="67"/>
      <c r="AH59" s="67"/>
      <c r="AI59" s="67"/>
      <c r="AJ59" s="67"/>
      <c r="AK59" s="67"/>
      <c r="AL59" s="67"/>
    </row>
    <row r="60" spans="2:38" x14ac:dyDescent="0.25">
      <c r="D60" s="77"/>
      <c r="AA60" s="67"/>
      <c r="AB60" s="67"/>
      <c r="AC60" s="70"/>
      <c r="AD60" s="67"/>
      <c r="AE60" s="67"/>
      <c r="AF60" s="67"/>
      <c r="AG60" s="67"/>
      <c r="AH60" s="67"/>
      <c r="AI60" s="67"/>
      <c r="AJ60" s="67"/>
      <c r="AK60" s="67"/>
      <c r="AL60" s="67"/>
    </row>
    <row r="61" spans="2:38" x14ac:dyDescent="0.25">
      <c r="D61" s="43"/>
      <c r="AA61" s="67"/>
      <c r="AB61" s="67"/>
      <c r="AC61" s="70"/>
      <c r="AD61" s="67"/>
      <c r="AE61" s="67"/>
      <c r="AF61" s="67"/>
      <c r="AG61" s="67"/>
      <c r="AH61" s="67"/>
      <c r="AI61" s="67"/>
      <c r="AJ61" s="67"/>
      <c r="AK61" s="67"/>
      <c r="AL61" s="67"/>
    </row>
    <row r="62" spans="2:38" x14ac:dyDescent="0.25">
      <c r="AA62" s="67"/>
      <c r="AB62" s="67"/>
      <c r="AC62" s="70"/>
      <c r="AD62" s="67"/>
      <c r="AE62" s="67"/>
      <c r="AF62" s="67"/>
      <c r="AG62" s="67"/>
      <c r="AH62" s="67"/>
      <c r="AI62" s="67"/>
      <c r="AJ62" s="67"/>
      <c r="AK62" s="67"/>
      <c r="AL62" s="67"/>
    </row>
    <row r="63" spans="2:38" x14ac:dyDescent="0.25">
      <c r="AA63" s="67"/>
      <c r="AB63" s="67"/>
      <c r="AC63" s="70"/>
      <c r="AD63" s="67"/>
      <c r="AE63" s="67"/>
      <c r="AF63" s="67"/>
      <c r="AG63" s="67"/>
      <c r="AH63" s="67"/>
      <c r="AI63" s="67"/>
      <c r="AJ63" s="67"/>
      <c r="AK63" s="67"/>
      <c r="AL63" s="67"/>
    </row>
  </sheetData>
  <sheetProtection algorithmName="SHA-512" hashValue="RfSqvOZSVeVGZapZ2C6m59qUy6DWy3Bf4FPSzcdk1hDeel/cRePh3ot4mwmduPW0vyoqF5XD9lC1GQgLEc9OVQ==" saltValue="S2G3cQoP6on1880vh7+sfA==" spinCount="100000" sheet="1" selectLockedCells="1"/>
  <mergeCells count="26">
    <mergeCell ref="C37:E37"/>
    <mergeCell ref="I28:M28"/>
    <mergeCell ref="O28:Q28"/>
    <mergeCell ref="M36:Y36"/>
    <mergeCell ref="B26:AC26"/>
    <mergeCell ref="B34:AC34"/>
    <mergeCell ref="U22:V22"/>
    <mergeCell ref="I16:M16"/>
    <mergeCell ref="T16:W16"/>
    <mergeCell ref="C21:D21"/>
    <mergeCell ref="F21:G21"/>
    <mergeCell ref="K21:M21"/>
    <mergeCell ref="O21:P21"/>
    <mergeCell ref="R21:S21"/>
    <mergeCell ref="C22:D22"/>
    <mergeCell ref="F22:G22"/>
    <mergeCell ref="K22:M22"/>
    <mergeCell ref="O22:P22"/>
    <mergeCell ref="R22:S22"/>
    <mergeCell ref="B19:AC19"/>
    <mergeCell ref="I10:M10"/>
    <mergeCell ref="I12:M12"/>
    <mergeCell ref="E14:G14"/>
    <mergeCell ref="I14:M14"/>
    <mergeCell ref="T14:W14"/>
    <mergeCell ref="B8:AC8"/>
  </mergeCells>
  <pageMargins left="0.7" right="0.7" top="0.75" bottom="0.75" header="0.3" footer="0.3"/>
  <pageSetup paperSize="9" scale="3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'Lookup BTL'!$K$4:$K$5</xm:f>
          </x14:formula1>
          <xm:sqref>C22:D22</xm:sqref>
        </x14:dataValidation>
        <x14:dataValidation type="list" allowBlank="1" showInputMessage="1" showErrorMessage="1">
          <x14:formula1>
            <xm:f>'Holiday Let lookup'!$F$18:$F$19</xm:f>
          </x14:formula1>
          <xm:sqref>P31 O28:Q28</xm:sqref>
        </x14:dataValidation>
        <x14:dataValidation type="list" allowBlank="1" showInputMessage="1" showErrorMessage="1">
          <x14:formula1>
            <xm:f>'Holiday Let lookup'!$E$3:$E$5</xm:f>
          </x14:formula1>
          <xm:sqref>E14:G14</xm:sqref>
        </x14:dataValidation>
        <x14:dataValidation type="list" allowBlank="1" showInputMessage="1" showErrorMessage="1">
          <x14:formula1>
            <xm:f>'Lookup BTL'!$H$4:$H$5</xm:f>
          </x14:formula1>
          <xm:sqref>F22:G22 I16:M16</xm:sqref>
        </x14:dataValidation>
        <x14:dataValidation type="list" allowBlank="1" showInputMessage="1" showErrorMessage="1">
          <x14:formula1>
            <xm:f>'Holiday Let lookup'!$K$18:$K$20</xm:f>
          </x14:formula1>
          <xm:sqref>C37:E37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9B114"/>
  </sheetPr>
  <dimension ref="A1:BA63"/>
  <sheetViews>
    <sheetView showGridLines="0" showRowColHeaders="0" tabSelected="1" zoomScale="80" zoomScaleNormal="80" workbookViewId="0">
      <selection activeCell="AO45" sqref="AO45"/>
    </sheetView>
  </sheetViews>
  <sheetFormatPr defaultColWidth="9.140625" defaultRowHeight="15" x14ac:dyDescent="0.25"/>
  <cols>
    <col min="1" max="1" width="13.5703125" style="67" customWidth="1"/>
    <col min="2" max="3" width="9.140625" style="37"/>
    <col min="4" max="4" width="16.140625" style="37" customWidth="1"/>
    <col min="5" max="5" width="9.140625" style="37"/>
    <col min="6" max="7" width="10.5703125" style="37" customWidth="1"/>
    <col min="8" max="8" width="13.5703125" style="37" customWidth="1"/>
    <col min="9" max="10" width="9.140625" style="37"/>
    <col min="11" max="11" width="10.7109375" style="37" customWidth="1"/>
    <col min="12" max="12" width="11.28515625" style="37" customWidth="1"/>
    <col min="13" max="13" width="13.42578125" style="37" customWidth="1"/>
    <col min="14" max="20" width="9.140625" style="37"/>
    <col min="21" max="22" width="11.42578125" style="37" customWidth="1"/>
    <col min="23" max="25" width="9.140625" style="37"/>
    <col min="26" max="40" width="9.140625" style="67"/>
    <col min="41" max="16384" width="9.140625" style="37"/>
  </cols>
  <sheetData>
    <row r="1" spans="2:53" s="67" customFormat="1" x14ac:dyDescent="0.25"/>
    <row r="2" spans="2:53" s="67" customFormat="1" x14ac:dyDescent="0.25"/>
    <row r="3" spans="2:53" s="67" customFormat="1" x14ac:dyDescent="0.25"/>
    <row r="4" spans="2:53" s="67" customFormat="1" ht="18" customHeight="1" x14ac:dyDescent="0.25"/>
    <row r="5" spans="2:53" ht="5.25" customHeight="1" thickBot="1" x14ac:dyDescent="0.3">
      <c r="AC5" s="68"/>
      <c r="AD5" s="190"/>
      <c r="AE5" s="190"/>
    </row>
    <row r="6" spans="2:53" x14ac:dyDescent="0.25">
      <c r="B6" s="221" t="s">
        <v>12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3"/>
      <c r="AC6" s="69"/>
    </row>
    <row r="7" spans="2:53" x14ac:dyDescent="0.25">
      <c r="B7" s="4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6"/>
      <c r="AC7" s="70"/>
      <c r="AD7" s="71"/>
      <c r="AE7" s="71"/>
      <c r="AF7" s="71"/>
    </row>
    <row r="8" spans="2:53" x14ac:dyDescent="0.25">
      <c r="B8" s="45"/>
      <c r="C8" s="47" t="s">
        <v>15</v>
      </c>
      <c r="D8" s="48"/>
      <c r="E8" s="49"/>
      <c r="F8" s="49"/>
      <c r="G8" s="44"/>
      <c r="H8" s="50" t="s">
        <v>0</v>
      </c>
      <c r="I8" s="233">
        <v>160780</v>
      </c>
      <c r="J8" s="234"/>
      <c r="K8" s="234"/>
      <c r="L8" s="234"/>
      <c r="M8" s="235"/>
      <c r="N8" s="44"/>
      <c r="O8" s="44"/>
      <c r="P8" s="49"/>
      <c r="Q8" s="49"/>
      <c r="R8" s="49"/>
      <c r="S8" s="49"/>
      <c r="T8" s="49"/>
      <c r="U8" s="49"/>
      <c r="V8" s="49"/>
      <c r="W8" s="49"/>
      <c r="X8" s="44"/>
      <c r="Y8" s="46"/>
      <c r="AF8" s="72"/>
    </row>
    <row r="9" spans="2:53" x14ac:dyDescent="0.25">
      <c r="B9" s="45"/>
      <c r="C9" s="48"/>
      <c r="D9" s="48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6"/>
    </row>
    <row r="10" spans="2:53" x14ac:dyDescent="0.25">
      <c r="B10" s="45"/>
      <c r="C10" s="51" t="s">
        <v>2</v>
      </c>
      <c r="D10" s="48"/>
      <c r="E10" s="49"/>
      <c r="F10" s="49"/>
      <c r="G10" s="49"/>
      <c r="H10" s="44"/>
      <c r="I10" s="262">
        <v>180</v>
      </c>
      <c r="J10" s="262"/>
      <c r="K10" s="262"/>
      <c r="L10" s="262"/>
      <c r="M10" s="262"/>
      <c r="N10" s="49" t="s">
        <v>5</v>
      </c>
      <c r="O10" s="44"/>
      <c r="P10" s="49"/>
      <c r="Q10" s="49"/>
      <c r="R10" s="49"/>
      <c r="S10" s="49"/>
      <c r="T10" s="49"/>
      <c r="U10" s="49"/>
      <c r="V10" s="49"/>
      <c r="W10" s="49"/>
      <c r="X10" s="44"/>
      <c r="Y10" s="46"/>
    </row>
    <row r="11" spans="2:53" x14ac:dyDescent="0.25">
      <c r="B11" s="45"/>
      <c r="C11" s="48"/>
      <c r="D11" s="48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6"/>
    </row>
    <row r="12" spans="2:53" x14ac:dyDescent="0.25">
      <c r="B12" s="45"/>
      <c r="C12" s="47" t="s">
        <v>1</v>
      </c>
      <c r="D12" s="48"/>
      <c r="E12" s="230" t="s">
        <v>80</v>
      </c>
      <c r="F12" s="231"/>
      <c r="G12" s="232"/>
      <c r="H12" s="44"/>
      <c r="I12" s="233">
        <v>8.25</v>
      </c>
      <c r="J12" s="234"/>
      <c r="K12" s="234"/>
      <c r="L12" s="234"/>
      <c r="M12" s="235"/>
      <c r="N12" s="49" t="s">
        <v>4</v>
      </c>
      <c r="O12" s="49" t="s">
        <v>13</v>
      </c>
      <c r="P12" s="44"/>
      <c r="Q12" s="49"/>
      <c r="R12" s="49"/>
      <c r="S12" s="50" t="s">
        <v>0</v>
      </c>
      <c r="T12" s="236">
        <f>IF(OR(I8="",I10="",I12="",I14=""),0,IF($I$14="Capital Repayment",-PMT(($I$12/100/12),$I$10,$I$8,0),IF($I$14="Interest Only",$I$8*($I$12/100/12),"")))</f>
        <v>1105.3625</v>
      </c>
      <c r="U12" s="237"/>
      <c r="V12" s="238"/>
      <c r="W12" s="59" t="s">
        <v>6</v>
      </c>
      <c r="X12" s="44"/>
      <c r="Y12" s="46"/>
    </row>
    <row r="13" spans="2:53" x14ac:dyDescent="0.25">
      <c r="B13" s="45"/>
      <c r="C13" s="52"/>
      <c r="D13" s="48"/>
      <c r="E13" s="44"/>
      <c r="F13" s="44"/>
      <c r="G13" s="44"/>
      <c r="H13" s="44"/>
      <c r="I13" s="44"/>
      <c r="J13" s="44"/>
      <c r="K13" s="44"/>
      <c r="L13" s="44"/>
      <c r="M13" s="44"/>
      <c r="N13" s="49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/>
    </row>
    <row r="14" spans="2:53" x14ac:dyDescent="0.25">
      <c r="B14" s="45"/>
      <c r="C14" s="53" t="s">
        <v>3</v>
      </c>
      <c r="D14" s="54"/>
      <c r="E14" s="57"/>
      <c r="F14" s="57"/>
      <c r="G14" s="57"/>
      <c r="H14" s="58"/>
      <c r="I14" s="241" t="s">
        <v>9</v>
      </c>
      <c r="J14" s="242"/>
      <c r="K14" s="242"/>
      <c r="L14" s="242"/>
      <c r="M14" s="243"/>
      <c r="N14" s="44"/>
      <c r="O14" s="49" t="s">
        <v>14</v>
      </c>
      <c r="P14" s="60"/>
      <c r="Q14" s="49"/>
      <c r="R14" s="49"/>
      <c r="S14" s="50" t="s">
        <v>0</v>
      </c>
      <c r="T14" s="236">
        <f>IF(OR(I8="",I10="",I12="",I14="",E12="Please select"),0,IF(OR($E$12="2-yr Fixed",$E$12="3-yr Fixed",$E$12="5-yr Fixed"),$T$12,IF($I$14="Capital Repayment",-PMT((($I$12+'Holiday Let lookup'!$P$4)/100/12),$I$10,$I$8,0),IF($I$14="Interest Only",$I$8*(($I$12+'Holiday Let lookup'!$P$4)/100/12),""))))</f>
        <v>1105.3625</v>
      </c>
      <c r="U14" s="237"/>
      <c r="V14" s="238"/>
      <c r="W14" s="59" t="s">
        <v>6</v>
      </c>
      <c r="X14" s="44"/>
      <c r="Y14" s="46"/>
    </row>
    <row r="15" spans="2:53" ht="9" customHeight="1" thickBot="1" x14ac:dyDescent="0.3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61"/>
    </row>
    <row r="16" spans="2:53" ht="8.25" customHeight="1" thickBot="1" x14ac:dyDescent="0.3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AC16" s="73"/>
      <c r="AD16" s="74"/>
      <c r="AE16" s="74"/>
      <c r="AH16" s="75"/>
      <c r="AI16" s="68"/>
      <c r="AY16" s="40"/>
      <c r="AZ16" s="40"/>
      <c r="BA16" s="40"/>
    </row>
    <row r="17" spans="1:53" s="38" customFormat="1" ht="21.75" customHeight="1" x14ac:dyDescent="0.25">
      <c r="A17" s="68"/>
      <c r="B17" s="221" t="s">
        <v>104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5"/>
      <c r="Z17" s="68"/>
      <c r="AA17" s="68"/>
      <c r="AB17" s="68"/>
      <c r="AC17" s="68"/>
      <c r="AD17" s="68"/>
      <c r="AE17" s="68"/>
      <c r="AF17" s="68"/>
      <c r="AG17" s="75"/>
      <c r="AH17" s="68"/>
      <c r="AI17" s="68"/>
      <c r="AJ17" s="68"/>
      <c r="AK17" s="68"/>
      <c r="AL17" s="68"/>
      <c r="AM17" s="68"/>
      <c r="AN17" s="68"/>
      <c r="AX17" s="41"/>
      <c r="AY17" s="41"/>
      <c r="AZ17" s="41"/>
    </row>
    <row r="18" spans="1:53" ht="17.25" customHeight="1" x14ac:dyDescent="0.25">
      <c r="B18" s="45"/>
      <c r="C18" s="298" t="s">
        <v>107</v>
      </c>
      <c r="D18" s="299"/>
      <c r="E18" s="44"/>
      <c r="F18" s="296" t="s">
        <v>44</v>
      </c>
      <c r="G18" s="297"/>
      <c r="H18" s="199"/>
      <c r="I18" s="199" t="s">
        <v>2</v>
      </c>
      <c r="J18" s="199"/>
      <c r="K18" s="298" t="s">
        <v>47</v>
      </c>
      <c r="L18" s="299"/>
      <c r="M18" s="299"/>
      <c r="N18" s="44"/>
      <c r="O18" s="298" t="s">
        <v>45</v>
      </c>
      <c r="P18" s="299"/>
      <c r="Q18" s="44"/>
      <c r="R18" s="298" t="s">
        <v>46</v>
      </c>
      <c r="S18" s="299"/>
      <c r="T18" s="44"/>
      <c r="U18" s="44" t="s">
        <v>53</v>
      </c>
      <c r="V18" s="44"/>
      <c r="W18" s="44"/>
      <c r="X18" s="44"/>
      <c r="Y18" s="46"/>
      <c r="AB18" s="70"/>
      <c r="AC18" s="71"/>
      <c r="AD18" s="71"/>
      <c r="AE18" s="71"/>
      <c r="AG18" s="75"/>
      <c r="AH18" s="68"/>
      <c r="AX18" s="40"/>
      <c r="AY18" s="40"/>
      <c r="AZ18" s="40"/>
    </row>
    <row r="19" spans="1:53" x14ac:dyDescent="0.25">
      <c r="B19" s="45"/>
      <c r="C19" s="248" t="s">
        <v>11</v>
      </c>
      <c r="D19" s="300"/>
      <c r="E19" s="44"/>
      <c r="F19" s="250" t="s">
        <v>9</v>
      </c>
      <c r="G19" s="301"/>
      <c r="H19" s="60"/>
      <c r="I19" s="42">
        <v>120</v>
      </c>
      <c r="J19" s="60" t="s">
        <v>5</v>
      </c>
      <c r="K19" s="252">
        <v>43831</v>
      </c>
      <c r="L19" s="302"/>
      <c r="M19" s="280"/>
      <c r="N19" s="44"/>
      <c r="O19" s="255">
        <v>50000</v>
      </c>
      <c r="P19" s="303"/>
      <c r="Q19" s="44"/>
      <c r="R19" s="255">
        <v>350</v>
      </c>
      <c r="S19" s="303"/>
      <c r="T19" s="44"/>
      <c r="U19" s="239">
        <f>IF(F19="Interest Only",(O19*IR_Stress!$E$4/12)+R19,IF(F19="Capital Repayment",R19*(1+VLOOKUP('Holiday Let lookup'!$V$4,'Holiday Let lookup'!$B$23:$G$63,'Holiday Let lookup'!$P$12,FALSE)),0))</f>
        <v>391.66666666666669</v>
      </c>
      <c r="V19" s="293"/>
      <c r="W19" s="44"/>
      <c r="X19" s="44"/>
      <c r="Y19" s="46"/>
      <c r="AB19" s="70"/>
      <c r="AC19" s="71"/>
      <c r="AD19" s="71"/>
      <c r="AE19" s="71"/>
      <c r="AG19" s="75"/>
      <c r="AH19" s="68"/>
      <c r="AX19" s="40"/>
      <c r="AY19" s="40"/>
      <c r="AZ19" s="40"/>
    </row>
    <row r="20" spans="1:53" ht="9" customHeight="1" thickBot="1" x14ac:dyDescent="0.3">
      <c r="B20" s="55"/>
      <c r="C20" s="56"/>
      <c r="D20" s="56"/>
      <c r="E20" s="56"/>
      <c r="F20" s="63"/>
      <c r="G20" s="63"/>
      <c r="H20" s="63"/>
      <c r="I20" s="63"/>
      <c r="J20" s="63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61"/>
      <c r="AB20" s="70"/>
      <c r="AC20" s="71"/>
      <c r="AD20" s="71"/>
      <c r="AE20" s="71"/>
      <c r="AG20" s="75"/>
      <c r="AH20" s="68"/>
      <c r="AX20" s="40"/>
      <c r="AY20" s="40"/>
      <c r="AZ20" s="40"/>
    </row>
    <row r="21" spans="1:53" ht="6.75" customHeight="1" thickBot="1" x14ac:dyDescent="0.3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AC21" s="73"/>
      <c r="AD21" s="74"/>
      <c r="AE21" s="74"/>
      <c r="AH21" s="75"/>
      <c r="AI21" s="68"/>
      <c r="AY21" s="40"/>
      <c r="AZ21" s="40"/>
      <c r="BA21" s="40"/>
    </row>
    <row r="22" spans="1:53" s="38" customFormat="1" ht="21.75" customHeight="1" x14ac:dyDescent="0.25">
      <c r="A22" s="68"/>
      <c r="B22" s="221" t="s">
        <v>95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3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X22" s="41"/>
      <c r="AY22" s="41"/>
      <c r="AZ22" s="41"/>
    </row>
    <row r="23" spans="1:53" ht="6.75" customHeight="1" x14ac:dyDescent="0.25">
      <c r="B23" s="45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6"/>
      <c r="AX23" s="40"/>
      <c r="AY23" s="40"/>
      <c r="AZ23" s="40"/>
    </row>
    <row r="24" spans="1:53" x14ac:dyDescent="0.25">
      <c r="B24" s="45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98" t="s">
        <v>73</v>
      </c>
      <c r="P24" s="44"/>
      <c r="Q24" s="44"/>
      <c r="R24" s="44"/>
      <c r="S24" s="98" t="s">
        <v>74</v>
      </c>
      <c r="T24" s="44"/>
      <c r="U24" s="44"/>
      <c r="V24" s="44"/>
      <c r="W24" s="44"/>
      <c r="X24" s="44"/>
      <c r="Y24" s="46"/>
      <c r="AX24" s="40"/>
      <c r="AY24" s="40"/>
      <c r="AZ24" s="40"/>
    </row>
    <row r="25" spans="1:53" x14ac:dyDescent="0.25">
      <c r="B25" s="45"/>
      <c r="C25" s="49" t="s">
        <v>108</v>
      </c>
      <c r="D25" s="49"/>
      <c r="E25" s="49"/>
      <c r="F25" s="44"/>
      <c r="G25" s="50" t="s">
        <v>0</v>
      </c>
      <c r="H25" s="248">
        <v>2416</v>
      </c>
      <c r="I25" s="249"/>
      <c r="J25" s="44"/>
      <c r="K25" s="248" t="s">
        <v>63</v>
      </c>
      <c r="L25" s="257"/>
      <c r="M25" s="249"/>
      <c r="N25" s="44"/>
      <c r="O25" s="196" t="s">
        <v>63</v>
      </c>
      <c r="P25" s="100"/>
      <c r="Q25" s="100"/>
      <c r="R25" s="100"/>
      <c r="S25" s="197" t="s">
        <v>77</v>
      </c>
      <c r="T25" s="44"/>
      <c r="U25" s="64"/>
      <c r="V25" s="49"/>
      <c r="W25" s="49"/>
      <c r="X25" s="49"/>
      <c r="Y25" s="46"/>
      <c r="AA25" s="191"/>
      <c r="AC25" s="192"/>
      <c r="AD25" s="193"/>
      <c r="AF25" s="193"/>
      <c r="AH25" s="193"/>
      <c r="AI25" s="192"/>
      <c r="AJ25" s="193"/>
      <c r="AK25" s="192"/>
      <c r="AX25" s="40"/>
      <c r="AY25" s="40"/>
      <c r="AZ25" s="40"/>
    </row>
    <row r="26" spans="1:53" x14ac:dyDescent="0.25">
      <c r="B26" s="45"/>
      <c r="C26" s="49"/>
      <c r="D26" s="49"/>
      <c r="E26" s="49"/>
      <c r="F26" s="44"/>
      <c r="G26" s="64"/>
      <c r="H26" s="64"/>
      <c r="I26" s="64"/>
      <c r="J26" s="49"/>
      <c r="K26" s="66"/>
      <c r="L26" s="44"/>
      <c r="M26" s="44"/>
      <c r="N26" s="44"/>
      <c r="O26" s="100" t="s">
        <v>72</v>
      </c>
      <c r="P26" s="44"/>
      <c r="Q26" s="44"/>
      <c r="R26" s="44"/>
      <c r="S26" s="44" t="s">
        <v>76</v>
      </c>
      <c r="T26" s="44"/>
      <c r="U26" s="64"/>
      <c r="V26" s="49"/>
      <c r="W26" s="49"/>
      <c r="X26" s="49"/>
      <c r="Y26" s="46"/>
      <c r="AA26" s="191"/>
      <c r="AC26" s="192"/>
      <c r="AD26" s="193"/>
      <c r="AE26" s="191"/>
      <c r="AF26" s="193"/>
      <c r="AH26" s="193"/>
      <c r="AI26" s="192"/>
      <c r="AJ26" s="193"/>
      <c r="AK26" s="192"/>
      <c r="AX26" s="40"/>
      <c r="AY26" s="40"/>
      <c r="AZ26" s="40"/>
    </row>
    <row r="27" spans="1:53" ht="6.75" customHeight="1" x14ac:dyDescent="0.25">
      <c r="B27" s="45"/>
      <c r="C27" s="49"/>
      <c r="D27" s="49"/>
      <c r="E27" s="49"/>
      <c r="F27" s="44"/>
      <c r="G27" s="64"/>
      <c r="H27" s="64"/>
      <c r="I27" s="64"/>
      <c r="J27" s="49"/>
      <c r="K27" s="66"/>
      <c r="L27" s="44"/>
      <c r="M27" s="44"/>
      <c r="N27" s="44"/>
      <c r="O27" s="100"/>
      <c r="P27" s="44"/>
      <c r="Q27" s="44"/>
      <c r="R27" s="44"/>
      <c r="S27" s="44"/>
      <c r="T27" s="44"/>
      <c r="U27" s="64"/>
      <c r="V27" s="49"/>
      <c r="W27" s="49"/>
      <c r="X27" s="49"/>
      <c r="Y27" s="46"/>
      <c r="AA27" s="191"/>
      <c r="AC27" s="192"/>
      <c r="AD27" s="193"/>
      <c r="AE27" s="191"/>
      <c r="AF27" s="193"/>
      <c r="AH27" s="193"/>
      <c r="AI27" s="192"/>
      <c r="AJ27" s="193"/>
      <c r="AK27" s="192"/>
      <c r="AX27" s="40"/>
      <c r="AY27" s="40"/>
      <c r="AZ27" s="40"/>
    </row>
    <row r="28" spans="1:53" x14ac:dyDescent="0.25">
      <c r="B28" s="45"/>
      <c r="C28" s="49" t="s">
        <v>101</v>
      </c>
      <c r="D28" s="49"/>
      <c r="E28" s="49"/>
      <c r="F28" s="44"/>
      <c r="G28" s="50" t="s">
        <v>0</v>
      </c>
      <c r="H28" s="248">
        <v>8425</v>
      </c>
      <c r="I28" s="249"/>
      <c r="J28" s="49"/>
      <c r="K28" s="248" t="s">
        <v>18</v>
      </c>
      <c r="L28" s="257"/>
      <c r="M28" s="249"/>
      <c r="N28" s="49"/>
      <c r="O28" s="100"/>
      <c r="P28" s="44"/>
      <c r="Q28" s="44"/>
      <c r="R28" s="44"/>
      <c r="S28" s="44"/>
      <c r="T28" s="44"/>
      <c r="U28" s="44"/>
      <c r="V28" s="44"/>
      <c r="W28" s="49"/>
      <c r="X28" s="49"/>
      <c r="Y28" s="46"/>
      <c r="AA28" s="191"/>
      <c r="AC28" s="192"/>
      <c r="AD28" s="193"/>
      <c r="AF28" s="193"/>
      <c r="AH28" s="193"/>
      <c r="AI28" s="192"/>
      <c r="AJ28" s="193"/>
      <c r="AK28" s="192"/>
      <c r="AX28" s="40"/>
      <c r="AY28" s="40"/>
      <c r="AZ28" s="40"/>
    </row>
    <row r="29" spans="1:53" hidden="1" x14ac:dyDescent="0.25">
      <c r="B29" s="45"/>
      <c r="C29" s="49" t="s">
        <v>31</v>
      </c>
      <c r="D29" s="49"/>
      <c r="E29" s="49"/>
      <c r="F29" s="44"/>
      <c r="G29" s="50"/>
      <c r="H29" s="306" t="s">
        <v>10</v>
      </c>
      <c r="I29" s="307"/>
      <c r="J29" s="49"/>
      <c r="K29" s="49"/>
      <c r="L29" s="49"/>
      <c r="M29" s="49"/>
      <c r="N29" s="49"/>
      <c r="O29" s="44"/>
      <c r="P29" s="44"/>
      <c r="Q29" s="44"/>
      <c r="R29" s="64"/>
      <c r="S29" s="64"/>
      <c r="T29" s="64"/>
      <c r="U29" s="64"/>
      <c r="V29" s="49"/>
      <c r="W29" s="49"/>
      <c r="X29" s="49"/>
      <c r="Y29" s="46"/>
      <c r="AA29" s="191"/>
      <c r="AC29" s="192"/>
      <c r="AD29" s="193"/>
      <c r="AF29" s="193"/>
      <c r="AH29" s="193"/>
      <c r="AI29" s="192"/>
      <c r="AJ29" s="193"/>
      <c r="AK29" s="192"/>
      <c r="AX29" s="40"/>
      <c r="AY29" s="40"/>
      <c r="AZ29" s="40"/>
    </row>
    <row r="30" spans="1:53" x14ac:dyDescent="0.25">
      <c r="B30" s="45"/>
      <c r="C30" s="210" t="s">
        <v>109</v>
      </c>
      <c r="D30" s="49"/>
      <c r="E30" s="49"/>
      <c r="F30" s="44"/>
      <c r="G30" s="50"/>
      <c r="H30" s="194"/>
      <c r="I30" s="195"/>
      <c r="J30" s="49"/>
      <c r="K30" s="49"/>
      <c r="L30" s="49"/>
      <c r="M30" s="49"/>
      <c r="N30" s="49"/>
      <c r="O30" s="44"/>
      <c r="P30" s="44"/>
      <c r="Q30" s="44"/>
      <c r="R30" s="64"/>
      <c r="S30" s="64"/>
      <c r="T30" s="64"/>
      <c r="U30" s="64"/>
      <c r="V30" s="49"/>
      <c r="W30" s="49"/>
      <c r="X30" s="49"/>
      <c r="Y30" s="46"/>
      <c r="AA30" s="191"/>
      <c r="AC30" s="192"/>
      <c r="AD30" s="193"/>
      <c r="AF30" s="193"/>
      <c r="AH30" s="193"/>
      <c r="AI30" s="192"/>
      <c r="AJ30" s="193"/>
      <c r="AK30" s="192"/>
      <c r="AX30" s="40"/>
      <c r="AY30" s="40"/>
      <c r="AZ30" s="40"/>
    </row>
    <row r="31" spans="1:53" ht="9" customHeight="1" thickBot="1" x14ac:dyDescent="0.3">
      <c r="B31" s="55"/>
      <c r="C31" s="65"/>
      <c r="D31" s="65"/>
      <c r="E31" s="65"/>
      <c r="F31" s="56"/>
      <c r="G31" s="56"/>
      <c r="H31" s="56"/>
      <c r="I31" s="56"/>
      <c r="J31" s="56"/>
      <c r="K31" s="56"/>
      <c r="L31" s="56"/>
      <c r="M31" s="56"/>
      <c r="N31" s="56"/>
      <c r="O31" s="101"/>
      <c r="P31" s="56"/>
      <c r="Q31" s="56"/>
      <c r="R31" s="56"/>
      <c r="S31" s="56"/>
      <c r="T31" s="56"/>
      <c r="U31" s="56"/>
      <c r="V31" s="56"/>
      <c r="W31" s="56"/>
      <c r="X31" s="56"/>
      <c r="Y31" s="61"/>
      <c r="AX31" s="40"/>
      <c r="AY31" s="40"/>
      <c r="AZ31" s="40"/>
    </row>
    <row r="32" spans="1:53" ht="6.75" customHeight="1" thickBot="1" x14ac:dyDescent="0.3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AX32" s="40"/>
      <c r="AY32" s="40"/>
      <c r="AZ32" s="40"/>
    </row>
    <row r="33" spans="2:40" x14ac:dyDescent="0.25">
      <c r="B33" s="221" t="s">
        <v>33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3"/>
    </row>
    <row r="34" spans="2:40" ht="6.75" customHeight="1" x14ac:dyDescent="0.25">
      <c r="B34" s="45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6"/>
    </row>
    <row r="35" spans="2:40" x14ac:dyDescent="0.25">
      <c r="B35" s="45"/>
      <c r="C35" s="44"/>
      <c r="D35" s="44"/>
      <c r="E35" s="44"/>
      <c r="F35" s="44"/>
      <c r="G35" s="44"/>
      <c r="H35" s="44" t="s">
        <v>57</v>
      </c>
      <c r="I35" s="44"/>
      <c r="J35" s="44"/>
      <c r="K35" s="44"/>
      <c r="L35" s="44" t="s">
        <v>53</v>
      </c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6"/>
    </row>
    <row r="36" spans="2:40" x14ac:dyDescent="0.25">
      <c r="B36" s="45"/>
      <c r="C36" s="211" t="s">
        <v>110</v>
      </c>
      <c r="D36" s="44"/>
      <c r="E36" s="44"/>
      <c r="F36" s="44"/>
      <c r="G36" s="50" t="s">
        <v>0</v>
      </c>
      <c r="H36" s="268">
        <f>IF(C19="Yes",R19,0)</f>
        <v>0</v>
      </c>
      <c r="I36" s="269"/>
      <c r="J36" s="44"/>
      <c r="K36" s="50" t="s">
        <v>0</v>
      </c>
      <c r="L36" s="268">
        <f>IF(C19="Yes",U19,0)</f>
        <v>0</v>
      </c>
      <c r="M36" s="269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6"/>
    </row>
    <row r="37" spans="2:40" x14ac:dyDescent="0.25">
      <c r="B37" s="45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6"/>
    </row>
    <row r="38" spans="2:40" x14ac:dyDescent="0.25">
      <c r="B38" s="45"/>
      <c r="C38" s="211" t="s">
        <v>103</v>
      </c>
      <c r="D38" s="44"/>
      <c r="E38" s="44"/>
      <c r="F38" s="44"/>
      <c r="G38" s="50" t="s">
        <v>0</v>
      </c>
      <c r="H38" s="263">
        <v>7000</v>
      </c>
      <c r="I38" s="26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6"/>
    </row>
    <row r="39" spans="2:40" ht="7.5" customHeight="1" thickBot="1" x14ac:dyDescent="0.3">
      <c r="B39" s="55"/>
      <c r="C39" s="140"/>
      <c r="D39" s="56"/>
      <c r="E39" s="56"/>
      <c r="F39" s="56"/>
      <c r="G39" s="123"/>
      <c r="H39" s="148"/>
      <c r="I39" s="148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61"/>
    </row>
    <row r="40" spans="2:40" ht="9" customHeight="1" thickBot="1" x14ac:dyDescent="0.3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</row>
    <row r="41" spans="2:40" x14ac:dyDescent="0.25">
      <c r="B41" s="221" t="s">
        <v>34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3"/>
    </row>
    <row r="42" spans="2:40" ht="6.75" customHeight="1" x14ac:dyDescent="0.25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6"/>
    </row>
    <row r="43" spans="2:40" x14ac:dyDescent="0.25">
      <c r="B43" s="45"/>
      <c r="C43" s="44"/>
      <c r="D43" s="44"/>
      <c r="E43" s="44"/>
      <c r="F43" s="44"/>
      <c r="G43" s="44"/>
      <c r="H43" s="98" t="s">
        <v>59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6"/>
    </row>
    <row r="44" spans="2:40" ht="2.25" customHeight="1" x14ac:dyDescent="0.25">
      <c r="B44" s="45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6"/>
    </row>
    <row r="45" spans="2:40" x14ac:dyDescent="0.25">
      <c r="B45" s="45"/>
      <c r="C45" s="44" t="s">
        <v>30</v>
      </c>
      <c r="D45" s="44"/>
      <c r="E45" s="44"/>
      <c r="F45" s="44"/>
      <c r="G45" s="50" t="s">
        <v>0</v>
      </c>
      <c r="H45" s="236">
        <f>(IF(K28="Projected",H28*90%,H28))+(IF(K25="Based on projected affordability",H25*50%,H25*80%))</f>
        <v>8790.5</v>
      </c>
      <c r="I45" s="238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6"/>
    </row>
    <row r="46" spans="2:40" x14ac:dyDescent="0.25">
      <c r="B46" s="45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6"/>
    </row>
    <row r="47" spans="2:40" x14ac:dyDescent="0.25">
      <c r="B47" s="45"/>
      <c r="C47" s="44" t="s">
        <v>56</v>
      </c>
      <c r="D47" s="44"/>
      <c r="E47" s="44"/>
      <c r="F47" s="44"/>
      <c r="G47" s="50" t="s">
        <v>0</v>
      </c>
      <c r="H47" s="236">
        <f>L36+H38</f>
        <v>7000</v>
      </c>
      <c r="I47" s="238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6"/>
      <c r="AK47" s="37"/>
      <c r="AL47" s="37"/>
      <c r="AM47" s="37"/>
      <c r="AN47" s="37"/>
    </row>
    <row r="48" spans="2:40" x14ac:dyDescent="0.25">
      <c r="B48" s="45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6"/>
      <c r="AK48" s="37"/>
      <c r="AL48" s="37"/>
      <c r="AM48" s="37"/>
      <c r="AN48" s="37"/>
    </row>
    <row r="49" spans="2:40" x14ac:dyDescent="0.25">
      <c r="B49" s="45"/>
      <c r="C49" s="44" t="s">
        <v>54</v>
      </c>
      <c r="D49" s="44"/>
      <c r="E49" s="44"/>
      <c r="F49" s="44"/>
      <c r="G49" s="50" t="s">
        <v>0</v>
      </c>
      <c r="H49" s="236">
        <f>T14</f>
        <v>1105.3625</v>
      </c>
      <c r="I49" s="238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6"/>
      <c r="AK49" s="37"/>
      <c r="AL49" s="37"/>
      <c r="AM49" s="37"/>
      <c r="AN49" s="37"/>
    </row>
    <row r="50" spans="2:40" ht="15.75" thickBot="1" x14ac:dyDescent="0.3">
      <c r="B50" s="45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6"/>
      <c r="AK50" s="37"/>
      <c r="AL50" s="37"/>
      <c r="AM50" s="37"/>
      <c r="AN50" s="37"/>
    </row>
    <row r="51" spans="2:40" ht="25.5" customHeight="1" thickBot="1" x14ac:dyDescent="0.3">
      <c r="B51" s="45"/>
      <c r="C51" s="44" t="s">
        <v>32</v>
      </c>
      <c r="D51" s="44"/>
      <c r="E51" s="44"/>
      <c r="F51" s="44"/>
      <c r="G51" s="50"/>
      <c r="H51" s="270">
        <f>(H49+H47)/H45</f>
        <v>0.92205932540811109</v>
      </c>
      <c r="I51" s="271"/>
      <c r="J51" s="44"/>
      <c r="K51" s="272" t="str">
        <f>IF(H51&gt;0.75,"DECLINED: Outside of policy - please speak with our support team on 0161 933 7101",(IF(H51&gt;0.5,"REFERRAL: Higher TSDI's considered on merit; please speak to your BDM before submitting this case","ACCEPT")))</f>
        <v>DECLINED: Outside of policy - please speak with our support team on 0161 933 7101</v>
      </c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44"/>
      <c r="W51" s="44"/>
      <c r="X51" s="44"/>
      <c r="Y51" s="46"/>
      <c r="AK51" s="37"/>
      <c r="AL51" s="37"/>
      <c r="AM51" s="37"/>
      <c r="AN51" s="37"/>
    </row>
    <row r="52" spans="2:40" ht="15.75" thickBot="1" x14ac:dyDescent="0.3"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61"/>
    </row>
    <row r="53" spans="2:40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</row>
    <row r="54" spans="2:40" x14ac:dyDescent="0.2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</row>
    <row r="55" spans="2:40" x14ac:dyDescent="0.25">
      <c r="B55" s="67"/>
      <c r="C55" s="67"/>
      <c r="D55" s="67"/>
      <c r="E55" s="67"/>
      <c r="F55" s="67"/>
      <c r="G55" s="67"/>
      <c r="H55" s="67"/>
      <c r="I55" s="198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</row>
    <row r="56" spans="2:40" x14ac:dyDescent="0.25">
      <c r="B56" s="67"/>
      <c r="C56" s="67"/>
      <c r="D56" s="67"/>
      <c r="E56" s="67"/>
      <c r="F56" s="67"/>
      <c r="G56" s="67"/>
      <c r="H56" s="67"/>
      <c r="I56" s="89"/>
      <c r="J56" s="86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</row>
    <row r="57" spans="2:40" x14ac:dyDescent="0.2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</row>
    <row r="58" spans="2:40" x14ac:dyDescent="0.2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</row>
    <row r="59" spans="2:40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</row>
    <row r="60" spans="2:40" x14ac:dyDescent="0.2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</row>
    <row r="61" spans="2:40" x14ac:dyDescent="0.2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</row>
    <row r="62" spans="2:40" x14ac:dyDescent="0.2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</row>
    <row r="63" spans="2:40" x14ac:dyDescent="0.2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</row>
  </sheetData>
  <sheetProtection algorithmName="SHA-512" hashValue="r+kiEeJr5LKbX8/sDvVcrn2jBjSaDxRfQCDdypurmQzyl51St/3IYnjvDUOLdzROiS8OekixMkMk8e83MYev6A==" saltValue="nn7flQ8iJd0kH+M4N/71kA==" spinCount="100000" sheet="1" selectLockedCells="1"/>
  <mergeCells count="36">
    <mergeCell ref="H47:I47"/>
    <mergeCell ref="H49:I49"/>
    <mergeCell ref="H51:I51"/>
    <mergeCell ref="K28:M28"/>
    <mergeCell ref="B33:Y33"/>
    <mergeCell ref="H36:I36"/>
    <mergeCell ref="L36:M36"/>
    <mergeCell ref="H38:I38"/>
    <mergeCell ref="B41:Y41"/>
    <mergeCell ref="H45:I45"/>
    <mergeCell ref="K51:U51"/>
    <mergeCell ref="B22:Y22"/>
    <mergeCell ref="H25:I25"/>
    <mergeCell ref="K25:M25"/>
    <mergeCell ref="H28:I28"/>
    <mergeCell ref="H29:I29"/>
    <mergeCell ref="U19:V19"/>
    <mergeCell ref="I14:M14"/>
    <mergeCell ref="T14:V14"/>
    <mergeCell ref="B17:Y17"/>
    <mergeCell ref="C18:D18"/>
    <mergeCell ref="F18:G18"/>
    <mergeCell ref="K18:M18"/>
    <mergeCell ref="O18:P18"/>
    <mergeCell ref="R18:S18"/>
    <mergeCell ref="C19:D19"/>
    <mergeCell ref="F19:G19"/>
    <mergeCell ref="K19:M19"/>
    <mergeCell ref="O19:P19"/>
    <mergeCell ref="R19:S19"/>
    <mergeCell ref="B6:Y6"/>
    <mergeCell ref="I8:M8"/>
    <mergeCell ref="I10:M10"/>
    <mergeCell ref="E12:G12"/>
    <mergeCell ref="I12:M12"/>
    <mergeCell ref="T12:V1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'Holiday Let lookup'!$F$18:$F$19</xm:f>
          </x14:formula1>
          <xm:sqref>K25:M25</xm:sqref>
        </x14:dataValidation>
        <x14:dataValidation type="list" allowBlank="1" showInputMessage="1" showErrorMessage="1">
          <x14:formula1>
            <xm:f>'V:\Corporate Relationship Team\Credit + Portfolio Risk\Amani Ahmed\Affordability\Commercial Term Calc\[COMMERCIAL TERM CALCULATOR - INTERNAL v3.xlsx]lookup'!#REF!</xm:f>
          </x14:formula1>
          <xm:sqref>H29:I30</xm:sqref>
        </x14:dataValidation>
        <x14:dataValidation type="list" allowBlank="1" showInputMessage="1" showErrorMessage="1">
          <x14:formula1>
            <xm:f>'Holiday Let lookup'!$E$3:$E$5</xm:f>
          </x14:formula1>
          <xm:sqref>E12:G12</xm:sqref>
        </x14:dataValidation>
        <x14:dataValidation type="list" allowBlank="1" showInputMessage="1" showErrorMessage="1">
          <x14:formula1>
            <xm:f>'Holiday Let lookup'!$H$4:$H$5</xm:f>
          </x14:formula1>
          <xm:sqref>I14:M14 F19:G19</xm:sqref>
        </x14:dataValidation>
        <x14:dataValidation type="list" allowBlank="1" showInputMessage="1" showErrorMessage="1">
          <x14:formula1>
            <xm:f>'Lookup BTL'!$B$4:$B$5</xm:f>
          </x14:formula1>
          <xm:sqref>K28:M28</xm:sqref>
        </x14:dataValidation>
        <x14:dataValidation type="list" allowBlank="1" showInputMessage="1" showErrorMessage="1">
          <x14:formula1>
            <xm:f>'Holiday Let lookup'!$K$4:$K$5</xm:f>
          </x14:formula1>
          <xm:sqref>C19:D19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IR_Stress</vt:lpstr>
      <vt:lpstr>Serviced Bridge ICR</vt:lpstr>
      <vt:lpstr>Serviced Bridge TSDI</vt:lpstr>
      <vt:lpstr>Lookup Commercial Term</vt:lpstr>
      <vt:lpstr>Commercial Term ICR</vt:lpstr>
      <vt:lpstr>Commercial Term TSDI</vt:lpstr>
      <vt:lpstr>BTL ICR</vt:lpstr>
      <vt:lpstr>Holiday Let ICR</vt:lpstr>
      <vt:lpstr>Holiday Let TSDI</vt:lpstr>
      <vt:lpstr>Holiday Let lookup</vt:lpstr>
      <vt:lpstr>Lookup BTL</vt:lpstr>
      <vt:lpstr>Ground Rent - Service Charge</vt:lpstr>
      <vt:lpstr>'Commercial Term ICR'!Print_Area</vt:lpstr>
      <vt:lpstr>'Holiday Let ICR'!Print_Area</vt:lpstr>
      <vt:lpstr>'Serviced Bridge ICR'!Print_Area</vt:lpstr>
    </vt:vector>
  </TitlesOfParts>
  <Company>Blemain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Mossford</dc:creator>
  <cp:lastModifiedBy>Amani Ahmed</cp:lastModifiedBy>
  <cp:lastPrinted>2017-10-19T15:08:02Z</cp:lastPrinted>
  <dcterms:created xsi:type="dcterms:W3CDTF">2013-09-23T13:03:11Z</dcterms:created>
  <dcterms:modified xsi:type="dcterms:W3CDTF">2024-02-06T09:17:43Z</dcterms:modified>
</cp:coreProperties>
</file>